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480" windowHeight="11640" tabRatio="817" activeTab="9"/>
  </bookViews>
  <sheets>
    <sheet name="мун.зад." sheetId="1" r:id="rId1"/>
    <sheet name="проверка 2018" sheetId="4" r:id="rId2"/>
    <sheet name="проверка 2019 " sheetId="12" r:id="rId3"/>
    <sheet name="проверка 2020" sheetId="13" r:id="rId4"/>
    <sheet name="прил.1+2" sheetId="5" r:id="rId5"/>
    <sheet name="прил.3" sheetId="6" r:id="rId6"/>
    <sheet name="прил.4" sheetId="7" r:id="rId7"/>
    <sheet name="прил.5" sheetId="9" r:id="rId8"/>
    <sheet name="прил.6" sheetId="10" r:id="rId9"/>
    <sheet name="свод " sheetId="8" r:id="rId10"/>
  </sheets>
  <externalReferences>
    <externalReference r:id="rId11"/>
  </externalReferences>
  <definedNames>
    <definedName name="_xlnm.Print_Titles" localSheetId="9">'свод '!$7:$7</definedName>
    <definedName name="_xlnm.Print_Area" localSheetId="0">мун.зад.!$A$1:$R$253</definedName>
    <definedName name="_xlnm.Print_Area" localSheetId="4">'прил.1+2'!$A$1:$Q$109</definedName>
    <definedName name="_xlnm.Print_Area" localSheetId="5">прил.3!$A$1:$G$118</definedName>
    <definedName name="_xlnm.Print_Area" localSheetId="7">прил.5!$A$1:$I$36</definedName>
    <definedName name="_xlnm.Print_Area" localSheetId="8">прил.6!$A$1:$G$41</definedName>
    <definedName name="_xlnm.Print_Area" localSheetId="9">'свод '!$A$1:$K$138</definedName>
  </definedNames>
  <calcPr calcId="152511"/>
</workbook>
</file>

<file path=xl/calcChain.xml><?xml version="1.0" encoding="utf-8"?>
<calcChain xmlns="http://schemas.openxmlformats.org/spreadsheetml/2006/main">
  <c r="B27" i="4"/>
  <c r="B25"/>
  <c r="G20" i="9"/>
  <c r="D18"/>
  <c r="D20"/>
  <c r="D17"/>
  <c r="D19"/>
  <c r="L58" i="5"/>
  <c r="E83" i="6"/>
  <c r="O30" i="5"/>
  <c r="B18" i="4"/>
  <c r="B16"/>
  <c r="B15"/>
  <c r="G32" i="6"/>
  <c r="G22"/>
  <c r="G27"/>
  <c r="G9"/>
  <c r="E38" i="5"/>
  <c r="C11" l="1"/>
  <c r="B12"/>
  <c r="B11"/>
  <c r="B10"/>
  <c r="B9"/>
  <c r="B8"/>
  <c r="B7"/>
  <c r="M32"/>
  <c r="B64" s="1"/>
  <c r="Q31"/>
  <c r="D12" s="1"/>
  <c r="P31"/>
  <c r="C12" s="1"/>
  <c r="L31"/>
  <c r="L32" s="1"/>
  <c r="O32"/>
  <c r="M60"/>
  <c r="Q59"/>
  <c r="P59"/>
  <c r="L59"/>
  <c r="O60"/>
  <c r="N58"/>
  <c r="N60" s="1"/>
  <c r="N27"/>
  <c r="N29" s="1"/>
  <c r="P29" s="1"/>
  <c r="C63" s="1"/>
  <c r="L28"/>
  <c r="L29" s="1"/>
  <c r="O29"/>
  <c r="M29"/>
  <c r="B63" s="1"/>
  <c r="Q28"/>
  <c r="D11" s="1"/>
  <c r="P28"/>
  <c r="M57"/>
  <c r="Q56"/>
  <c r="P56"/>
  <c r="L56"/>
  <c r="O57"/>
  <c r="N55"/>
  <c r="N57" s="1"/>
  <c r="G26" i="6"/>
  <c r="H85" i="5"/>
  <c r="H84"/>
  <c r="G11" l="1"/>
  <c r="H11" s="1"/>
  <c r="N30"/>
  <c r="N32" s="1"/>
  <c r="Q32" s="1"/>
  <c r="D64" s="1"/>
  <c r="Q60"/>
  <c r="D83" s="1"/>
  <c r="P60"/>
  <c r="C83" s="1"/>
  <c r="L60"/>
  <c r="Q29"/>
  <c r="D63" s="1"/>
  <c r="G63" s="1"/>
  <c r="Q57"/>
  <c r="D82" s="1"/>
  <c r="L57"/>
  <c r="P57"/>
  <c r="C82" s="1"/>
  <c r="G82" s="1"/>
  <c r="H82" s="1"/>
  <c r="O54"/>
  <c r="M54"/>
  <c r="Q53"/>
  <c r="P53"/>
  <c r="L53"/>
  <c r="L54" s="1"/>
  <c r="N52"/>
  <c r="N54" s="1"/>
  <c r="O50"/>
  <c r="M50"/>
  <c r="L49"/>
  <c r="L50" s="1"/>
  <c r="N48"/>
  <c r="N50" s="1"/>
  <c r="O25"/>
  <c r="M25"/>
  <c r="B62" s="1"/>
  <c r="L24"/>
  <c r="L25" s="1"/>
  <c r="N23"/>
  <c r="N25" s="1"/>
  <c r="O21"/>
  <c r="M21"/>
  <c r="L20"/>
  <c r="L21" s="1"/>
  <c r="N19"/>
  <c r="N21" s="1"/>
  <c r="O17"/>
  <c r="M17"/>
  <c r="L16"/>
  <c r="L17" s="1"/>
  <c r="N15"/>
  <c r="N17" s="1"/>
  <c r="Q24"/>
  <c r="D10" s="1"/>
  <c r="P24"/>
  <c r="C10" s="1"/>
  <c r="G10" s="1"/>
  <c r="H10" s="1"/>
  <c r="Q20"/>
  <c r="D9" s="1"/>
  <c r="P20"/>
  <c r="C9" s="1"/>
  <c r="G25" i="6"/>
  <c r="C58" i="8" s="1"/>
  <c r="G71" i="6"/>
  <c r="G70"/>
  <c r="G68"/>
  <c r="G67"/>
  <c r="G9" i="5" l="1"/>
  <c r="H9" s="1"/>
  <c r="G83"/>
  <c r="H83" s="1"/>
  <c r="H63"/>
  <c r="P32"/>
  <c r="C64" s="1"/>
  <c r="G64" s="1"/>
  <c r="H64" s="1"/>
  <c r="Q25"/>
  <c r="D62" s="1"/>
  <c r="Q54"/>
  <c r="D81" s="1"/>
  <c r="P54"/>
  <c r="C81" s="1"/>
  <c r="P21"/>
  <c r="Q21"/>
  <c r="P25"/>
  <c r="C62" s="1"/>
  <c r="G62" s="1"/>
  <c r="H62" s="1"/>
  <c r="G81" l="1"/>
  <c r="H81" s="1"/>
  <c r="Q16"/>
  <c r="D8" s="1"/>
  <c r="C107" i="6"/>
  <c r="Q17" i="5" l="1"/>
  <c r="P17"/>
  <c r="P16"/>
  <c r="C8" s="1"/>
  <c r="G8" s="1"/>
  <c r="H8" s="1"/>
  <c r="E10" i="10"/>
  <c r="E9"/>
  <c r="E8"/>
  <c r="G22" i="9"/>
  <c r="I22" s="1"/>
  <c r="G18"/>
  <c r="G13"/>
  <c r="I13" s="1"/>
  <c r="G12"/>
  <c r="I12" s="1"/>
  <c r="G16"/>
  <c r="I16" s="1"/>
  <c r="G31" i="6"/>
  <c r="C66" i="8" s="1"/>
  <c r="G20" i="6"/>
  <c r="G16"/>
  <c r="G11"/>
  <c r="N24" i="12" l="1"/>
  <c r="N24" i="13" s="1"/>
  <c r="M24" i="12"/>
  <c r="M24" i="13" s="1"/>
  <c r="M12" i="12"/>
  <c r="M12" i="13" s="1"/>
  <c r="L12" i="12"/>
  <c r="L12" i="13" s="1"/>
  <c r="P24" i="12"/>
  <c r="P24" i="13" s="1"/>
  <c r="O24" i="4"/>
  <c r="O24" i="12" s="1"/>
  <c r="O24" i="13" s="1"/>
  <c r="O12" i="4"/>
  <c r="O12" i="12" s="1"/>
  <c r="O12" i="13" s="1"/>
  <c r="N12" i="12"/>
  <c r="N12" i="13" s="1"/>
  <c r="I36" l="1"/>
  <c r="I36" i="12"/>
  <c r="I37" i="13"/>
  <c r="I37" i="12"/>
  <c r="I39" i="4"/>
  <c r="I38"/>
  <c r="K37" i="12" l="1"/>
  <c r="J37"/>
  <c r="K37" i="13"/>
  <c r="J37"/>
  <c r="K38" i="4"/>
  <c r="J38"/>
  <c r="K36" i="12"/>
  <c r="J36"/>
  <c r="K39" i="4"/>
  <c r="J39"/>
  <c r="K36" i="13"/>
  <c r="J36"/>
  <c r="G23" i="9"/>
  <c r="G17" i="6"/>
  <c r="C52" i="8" l="1"/>
  <c r="G52" s="1"/>
  <c r="G94"/>
  <c r="A84"/>
  <c r="A85"/>
  <c r="A86"/>
  <c r="A87"/>
  <c r="A88"/>
  <c r="A89"/>
  <c r="A90"/>
  <c r="A91"/>
  <c r="A92"/>
  <c r="A93"/>
  <c r="A83"/>
  <c r="D73"/>
  <c r="E73"/>
  <c r="F73"/>
  <c r="A67"/>
  <c r="A66"/>
  <c r="A65"/>
  <c r="A64"/>
  <c r="A63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G68"/>
  <c r="G69"/>
  <c r="G70"/>
  <c r="G71"/>
  <c r="G72"/>
  <c r="G109" i="6"/>
  <c r="C90" i="8" s="1"/>
  <c r="G90" s="1"/>
  <c r="G42" i="6"/>
  <c r="G43"/>
  <c r="G44"/>
  <c r="G45"/>
  <c r="G10"/>
  <c r="G8"/>
  <c r="G12"/>
  <c r="C48" i="8" s="1"/>
  <c r="G48" s="1"/>
  <c r="G13" i="6"/>
  <c r="C49" i="8" s="1"/>
  <c r="G49" s="1"/>
  <c r="G14" i="6"/>
  <c r="C50" i="8" s="1"/>
  <c r="G50" s="1"/>
  <c r="G15" i="6"/>
  <c r="G18"/>
  <c r="C53" i="8" s="1"/>
  <c r="G53" s="1"/>
  <c r="G19" i="6"/>
  <c r="G21"/>
  <c r="G23"/>
  <c r="C56" i="8" s="1"/>
  <c r="G56" s="1"/>
  <c r="G24" i="6"/>
  <c r="C57" i="8" s="1"/>
  <c r="G57" s="1"/>
  <c r="G58"/>
  <c r="C59"/>
  <c r="G59" s="1"/>
  <c r="G28" i="6"/>
  <c r="C60" i="8" s="1"/>
  <c r="G60" s="1"/>
  <c r="G29" i="6"/>
  <c r="C61" i="8" s="1"/>
  <c r="G61" s="1"/>
  <c r="G30" i="6"/>
  <c r="C62" i="8" s="1"/>
  <c r="G62" s="1"/>
  <c r="G33" i="6"/>
  <c r="C67" i="8" s="1"/>
  <c r="G67" s="1"/>
  <c r="G34" i="6"/>
  <c r="G35"/>
  <c r="G36"/>
  <c r="G37"/>
  <c r="G38"/>
  <c r="G39"/>
  <c r="G40"/>
  <c r="G41"/>
  <c r="G47"/>
  <c r="G48"/>
  <c r="G49"/>
  <c r="G50"/>
  <c r="G51"/>
  <c r="G52"/>
  <c r="G53"/>
  <c r="G54"/>
  <c r="G55"/>
  <c r="G56"/>
  <c r="G57"/>
  <c r="G58"/>
  <c r="G73"/>
  <c r="C55" i="8" l="1"/>
  <c r="G55" s="1"/>
  <c r="C46"/>
  <c r="G46" s="1"/>
  <c r="C54"/>
  <c r="G54" s="1"/>
  <c r="C63"/>
  <c r="G63" s="1"/>
  <c r="C64"/>
  <c r="G64" s="1"/>
  <c r="C51"/>
  <c r="G51" s="1"/>
  <c r="C47"/>
  <c r="G47" s="1"/>
  <c r="G46" i="6"/>
  <c r="C65" i="8" s="1"/>
  <c r="G65" s="1"/>
  <c r="G66"/>
  <c r="J12" i="4" l="1"/>
  <c r="K53" i="1" s="1"/>
  <c r="I12" i="4"/>
  <c r="K52" i="1" s="1"/>
  <c r="J24" i="4"/>
  <c r="I12" i="12"/>
  <c r="L52" i="1" s="1"/>
  <c r="J40" i="4" l="1"/>
  <c r="K124" i="1"/>
  <c r="I17" i="4"/>
  <c r="I16"/>
  <c r="I15"/>
  <c r="K24" i="13"/>
  <c r="J24"/>
  <c r="J12"/>
  <c r="M53" i="1" s="1"/>
  <c r="I12" i="13"/>
  <c r="M52" i="1" s="1"/>
  <c r="K24" i="12"/>
  <c r="J24"/>
  <c r="L124" i="1" s="1"/>
  <c r="J12" i="12"/>
  <c r="L53" i="1" s="1"/>
  <c r="G24" i="9"/>
  <c r="G14"/>
  <c r="G11"/>
  <c r="G6" i="6"/>
  <c r="C44" i="8" s="1"/>
  <c r="K38" i="12" l="1"/>
  <c r="L125" i="1"/>
  <c r="K38" i="13"/>
  <c r="M125" i="1"/>
  <c r="J38" i="13"/>
  <c r="M124" i="1"/>
  <c r="I15" i="13"/>
  <c r="G44" i="8"/>
  <c r="H24" i="12"/>
  <c r="J38"/>
  <c r="H24" i="13"/>
  <c r="I24"/>
  <c r="I24" i="12"/>
  <c r="K24" i="4"/>
  <c r="I38" i="13" l="1"/>
  <c r="M123" i="1"/>
  <c r="H38" i="13"/>
  <c r="M122" i="1"/>
  <c r="K40" i="4"/>
  <c r="K125" i="1"/>
  <c r="I38" i="12"/>
  <c r="L123" i="1"/>
  <c r="H38" i="12"/>
  <c r="L122" i="1"/>
  <c r="L38" i="13"/>
  <c r="H24" i="4"/>
  <c r="I24"/>
  <c r="K123" i="1" s="1"/>
  <c r="J16" i="4"/>
  <c r="G15"/>
  <c r="H15" s="1"/>
  <c r="G21" i="9"/>
  <c r="I21" s="1"/>
  <c r="G15"/>
  <c r="G101" i="6"/>
  <c r="G69"/>
  <c r="L12" i="5"/>
  <c r="L13" s="1"/>
  <c r="D25" i="8"/>
  <c r="E25"/>
  <c r="F25"/>
  <c r="L38" i="12" l="1"/>
  <c r="H40" i="4"/>
  <c r="K122" i="1"/>
  <c r="I27" i="4"/>
  <c r="I40"/>
  <c r="J27"/>
  <c r="K35"/>
  <c r="J35"/>
  <c r="K34"/>
  <c r="J34"/>
  <c r="K27"/>
  <c r="H34"/>
  <c r="H27"/>
  <c r="I34"/>
  <c r="H35"/>
  <c r="I35"/>
  <c r="E92" i="5"/>
  <c r="E91"/>
  <c r="B24" i="4"/>
  <c r="B14"/>
  <c r="E71" i="5"/>
  <c r="E70"/>
  <c r="C24"/>
  <c r="C23"/>
  <c r="E39"/>
  <c r="L40" i="4" l="1"/>
  <c r="B13"/>
  <c r="C71" i="5"/>
  <c r="C20" i="4"/>
  <c r="D20" s="1"/>
  <c r="C91" i="5"/>
  <c r="C34" i="4"/>
  <c r="D34" s="1"/>
  <c r="C70" i="5"/>
  <c r="C19" i="4"/>
  <c r="D19" s="1"/>
  <c r="C92" i="5"/>
  <c r="C35" i="4"/>
  <c r="D35" s="1"/>
  <c r="C24" i="8"/>
  <c r="C13" s="1"/>
  <c r="G24"/>
  <c r="G13" s="1"/>
  <c r="D24" i="13"/>
  <c r="C24"/>
  <c r="B24"/>
  <c r="D14"/>
  <c r="C14"/>
  <c r="B14"/>
  <c r="D24" i="12"/>
  <c r="C24"/>
  <c r="B24"/>
  <c r="D14"/>
  <c r="C14"/>
  <c r="B14"/>
  <c r="C13" i="13" l="1"/>
  <c r="D13" i="12"/>
  <c r="C13"/>
  <c r="B13"/>
  <c r="B13" i="13"/>
  <c r="D13"/>
  <c r="I18"/>
  <c r="I18" i="12"/>
  <c r="J33"/>
  <c r="J15" i="13"/>
  <c r="J16"/>
  <c r="J17"/>
  <c r="J18"/>
  <c r="J25"/>
  <c r="J26"/>
  <c r="J27"/>
  <c r="J28"/>
  <c r="J29"/>
  <c r="J30"/>
  <c r="J31"/>
  <c r="J32"/>
  <c r="I16"/>
  <c r="I17"/>
  <c r="K25"/>
  <c r="K27"/>
  <c r="K29"/>
  <c r="K31"/>
  <c r="I27" i="12"/>
  <c r="K33"/>
  <c r="J15"/>
  <c r="J16"/>
  <c r="J17"/>
  <c r="J18"/>
  <c r="J26"/>
  <c r="J28"/>
  <c r="J30"/>
  <c r="J32"/>
  <c r="I15"/>
  <c r="I16"/>
  <c r="I17"/>
  <c r="K25"/>
  <c r="K29"/>
  <c r="H33" i="13" l="1"/>
  <c r="K31" i="12"/>
  <c r="K27"/>
  <c r="J31"/>
  <c r="J29"/>
  <c r="J27"/>
  <c r="J25"/>
  <c r="I25"/>
  <c r="I31"/>
  <c r="I29"/>
  <c r="I33"/>
  <c r="I30" i="13"/>
  <c r="I33"/>
  <c r="K32" i="12"/>
  <c r="K30"/>
  <c r="K28"/>
  <c r="K26"/>
  <c r="H32"/>
  <c r="H31"/>
  <c r="H30"/>
  <c r="H29"/>
  <c r="H28"/>
  <c r="H27"/>
  <c r="H26"/>
  <c r="H25"/>
  <c r="H33"/>
  <c r="I26"/>
  <c r="I28"/>
  <c r="I30"/>
  <c r="I32"/>
  <c r="K32" i="13"/>
  <c r="K30"/>
  <c r="K28"/>
  <c r="K26"/>
  <c r="H32"/>
  <c r="H31"/>
  <c r="H30"/>
  <c r="H29"/>
  <c r="H28"/>
  <c r="H27"/>
  <c r="H26"/>
  <c r="H25"/>
  <c r="I26"/>
  <c r="J33"/>
  <c r="J34" s="1"/>
  <c r="K33"/>
  <c r="I25"/>
  <c r="I28"/>
  <c r="I32"/>
  <c r="I27"/>
  <c r="I29"/>
  <c r="I31"/>
  <c r="I19"/>
  <c r="J19"/>
  <c r="I19" i="12"/>
  <c r="J19"/>
  <c r="K34" l="1"/>
  <c r="I34"/>
  <c r="I34" i="13"/>
  <c r="H34"/>
  <c r="J34" i="12"/>
  <c r="H34"/>
  <c r="K34" i="13"/>
  <c r="G17" i="9"/>
  <c r="G10"/>
  <c r="G25" l="1"/>
  <c r="G7"/>
  <c r="I7" s="1"/>
  <c r="Q49" i="5" l="1"/>
  <c r="P49"/>
  <c r="Q50" l="1"/>
  <c r="D80" s="1"/>
  <c r="P50"/>
  <c r="C80" s="1"/>
  <c r="G80" s="1"/>
  <c r="H80" s="1"/>
  <c r="G112" i="6"/>
  <c r="C93" i="8" l="1"/>
  <c r="G93" s="1"/>
  <c r="B36" i="4"/>
  <c r="L41" s="1"/>
  <c r="B34" i="13"/>
  <c r="L39" s="1"/>
  <c r="B34" i="12"/>
  <c r="L39" s="1"/>
  <c r="E28" i="10"/>
  <c r="E29"/>
  <c r="E30"/>
  <c r="D28"/>
  <c r="D29"/>
  <c r="D30"/>
  <c r="B28"/>
  <c r="B29"/>
  <c r="B30"/>
  <c r="I24" i="9"/>
  <c r="I25" l="1"/>
  <c r="G105" i="6"/>
  <c r="C86" i="8" s="1"/>
  <c r="G86" s="1"/>
  <c r="G30" i="10" l="1"/>
  <c r="I18" i="9"/>
  <c r="I17"/>
  <c r="I15"/>
  <c r="I20"/>
  <c r="G24" i="10" s="1"/>
  <c r="O46" i="5"/>
  <c r="M46"/>
  <c r="Q45"/>
  <c r="P45"/>
  <c r="L45"/>
  <c r="N44"/>
  <c r="N46" s="1"/>
  <c r="R15"/>
  <c r="Q46" l="1"/>
  <c r="D79" s="1"/>
  <c r="P46"/>
  <c r="C79" s="1"/>
  <c r="I11" i="9"/>
  <c r="G75" i="6"/>
  <c r="G74"/>
  <c r="G72"/>
  <c r="G66"/>
  <c r="G65"/>
  <c r="G77"/>
  <c r="G76" l="1"/>
  <c r="G7"/>
  <c r="C45" i="8" s="1"/>
  <c r="G45" l="1"/>
  <c r="G73" s="1"/>
  <c r="C73"/>
  <c r="J17" i="4"/>
  <c r="J15"/>
  <c r="J18"/>
  <c r="G16"/>
  <c r="H16" s="1"/>
  <c r="I18"/>
  <c r="G18" s="1"/>
  <c r="H18" s="1"/>
  <c r="G19" i="9"/>
  <c r="O42" i="5"/>
  <c r="B60"/>
  <c r="G17" i="4" l="1"/>
  <c r="H17" s="1"/>
  <c r="I19"/>
  <c r="G29" i="10"/>
  <c r="B61" i="5"/>
  <c r="F18"/>
  <c r="D18" s="1"/>
  <c r="G102" i="6" l="1"/>
  <c r="C83" i="8" s="1"/>
  <c r="G83" s="1"/>
  <c r="D27" i="10"/>
  <c r="E27"/>
  <c r="E26"/>
  <c r="D26"/>
  <c r="D24"/>
  <c r="E24"/>
  <c r="D25"/>
  <c r="E25"/>
  <c r="E23"/>
  <c r="D23"/>
  <c r="B27"/>
  <c r="B26"/>
  <c r="D120" i="8"/>
  <c r="D112"/>
  <c r="D108"/>
  <c r="D105"/>
  <c r="D99"/>
  <c r="I19" i="9"/>
  <c r="I14"/>
  <c r="G117" i="8" l="1"/>
  <c r="C117"/>
  <c r="C116"/>
  <c r="G116"/>
  <c r="G23" i="10"/>
  <c r="G27"/>
  <c r="G28" l="1"/>
  <c r="I23" i="9" l="1"/>
  <c r="D95" i="8"/>
  <c r="D79"/>
  <c r="D41"/>
  <c r="Q12" i="5"/>
  <c r="D7" s="1"/>
  <c r="P12"/>
  <c r="C7" s="1"/>
  <c r="G7" s="1"/>
  <c r="H7" s="1"/>
  <c r="O13"/>
  <c r="N11"/>
  <c r="N13" s="1"/>
  <c r="M13"/>
  <c r="B59" s="1"/>
  <c r="H31"/>
  <c r="D2" i="8"/>
  <c r="D31"/>
  <c r="E31"/>
  <c r="F31"/>
  <c r="G11"/>
  <c r="G12"/>
  <c r="D131"/>
  <c r="F131"/>
  <c r="F120"/>
  <c r="F112"/>
  <c r="G112"/>
  <c r="F108"/>
  <c r="F105"/>
  <c r="F99"/>
  <c r="F95"/>
  <c r="F79"/>
  <c r="F41"/>
  <c r="G36"/>
  <c r="G20"/>
  <c r="J5"/>
  <c r="K5"/>
  <c r="K18" s="1"/>
  <c r="K11" s="1"/>
  <c r="F5"/>
  <c r="E5"/>
  <c r="D5"/>
  <c r="E131"/>
  <c r="E120"/>
  <c r="E112"/>
  <c r="E108"/>
  <c r="E105"/>
  <c r="E99"/>
  <c r="E95"/>
  <c r="E79"/>
  <c r="E41"/>
  <c r="A82"/>
  <c r="A81"/>
  <c r="A44"/>
  <c r="M42" i="5"/>
  <c r="Q41"/>
  <c r="P41"/>
  <c r="L41"/>
  <c r="L42" s="1"/>
  <c r="N40"/>
  <c r="N42" s="1"/>
  <c r="Q42" s="1"/>
  <c r="D78" s="1"/>
  <c r="D61"/>
  <c r="D60"/>
  <c r="E11" i="10"/>
  <c r="E6"/>
  <c r="C123" i="8" s="1"/>
  <c r="G8" i="9"/>
  <c r="I8" s="1"/>
  <c r="G9"/>
  <c r="I9" s="1"/>
  <c r="I10"/>
  <c r="G6"/>
  <c r="I6" s="1"/>
  <c r="G111" i="6"/>
  <c r="C92" i="8" s="1"/>
  <c r="G92" s="1"/>
  <c r="G110" i="6"/>
  <c r="C91" i="8" s="1"/>
  <c r="G91" s="1"/>
  <c r="G108" i="6"/>
  <c r="C89" i="8" s="1"/>
  <c r="G89" s="1"/>
  <c r="J89" s="1"/>
  <c r="G107" i="6"/>
  <c r="C88" i="8" s="1"/>
  <c r="G88" s="1"/>
  <c r="G106" i="6"/>
  <c r="C87" i="8" s="1"/>
  <c r="G87" s="1"/>
  <c r="G104" i="6"/>
  <c r="C85" i="8" s="1"/>
  <c r="G85" s="1"/>
  <c r="G103" i="6"/>
  <c r="C84" i="8" s="1"/>
  <c r="G84" s="1"/>
  <c r="G100" i="6"/>
  <c r="G99"/>
  <c r="G98"/>
  <c r="H33" i="5"/>
  <c r="H32"/>
  <c r="H34" s="1"/>
  <c r="G23" i="8" s="1"/>
  <c r="G10" s="1"/>
  <c r="F17" i="5"/>
  <c r="D17"/>
  <c r="D19" i="8"/>
  <c r="D12" s="1"/>
  <c r="E15" i="10"/>
  <c r="G127" i="8" s="1"/>
  <c r="E14" i="10"/>
  <c r="G126" i="8" s="1"/>
  <c r="E13" i="10"/>
  <c r="G125" i="8" s="1"/>
  <c r="A119"/>
  <c r="A19"/>
  <c r="F31" i="7"/>
  <c r="F30"/>
  <c r="C111" i="8"/>
  <c r="F29" i="7"/>
  <c r="C110" i="8" s="1"/>
  <c r="F23" i="7"/>
  <c r="F22"/>
  <c r="G107" i="8" s="1"/>
  <c r="F14" i="7"/>
  <c r="G103" i="8" s="1"/>
  <c r="F13" i="7"/>
  <c r="G102" i="8" s="1"/>
  <c r="F12" i="7"/>
  <c r="G101" i="8" s="1"/>
  <c r="J101" s="1"/>
  <c r="F7" i="7"/>
  <c r="G98" i="8" s="1"/>
  <c r="F6" i="7"/>
  <c r="G97" i="8" s="1"/>
  <c r="E90" i="6"/>
  <c r="E89"/>
  <c r="E88"/>
  <c r="E87"/>
  <c r="E86"/>
  <c r="E85"/>
  <c r="E84"/>
  <c r="E97" i="5"/>
  <c r="C40" i="8" s="1"/>
  <c r="C31" s="1"/>
  <c r="G34" i="5"/>
  <c r="C19" i="8"/>
  <c r="C12" s="1"/>
  <c r="I29" i="4"/>
  <c r="D140" i="8"/>
  <c r="J32" i="4"/>
  <c r="J33"/>
  <c r="K31"/>
  <c r="J104" i="8"/>
  <c r="J90"/>
  <c r="J34"/>
  <c r="J93"/>
  <c r="J125"/>
  <c r="J19"/>
  <c r="J12" s="1"/>
  <c r="C26" i="4" l="1"/>
  <c r="D26" s="1"/>
  <c r="F15" i="7"/>
  <c r="G124" i="8"/>
  <c r="C124"/>
  <c r="K92"/>
  <c r="K68"/>
  <c r="K70"/>
  <c r="K72"/>
  <c r="K69"/>
  <c r="K71"/>
  <c r="J68"/>
  <c r="J70"/>
  <c r="J72"/>
  <c r="J69"/>
  <c r="J71"/>
  <c r="K102"/>
  <c r="J23"/>
  <c r="C23"/>
  <c r="K34"/>
  <c r="K98"/>
  <c r="K125"/>
  <c r="K90"/>
  <c r="K104"/>
  <c r="K110"/>
  <c r="G123"/>
  <c r="J18"/>
  <c r="J11" s="1"/>
  <c r="J110"/>
  <c r="J98"/>
  <c r="J91"/>
  <c r="J17"/>
  <c r="J35"/>
  <c r="J36" s="1"/>
  <c r="J92"/>
  <c r="J111"/>
  <c r="J16"/>
  <c r="J103"/>
  <c r="G12" i="5"/>
  <c r="G13" s="1"/>
  <c r="G40" i="8"/>
  <c r="G31" s="1"/>
  <c r="K23"/>
  <c r="I25" i="4"/>
  <c r="E19" i="8"/>
  <c r="E12" s="1"/>
  <c r="G118"/>
  <c r="C118"/>
  <c r="G140"/>
  <c r="C140"/>
  <c r="G26" i="10"/>
  <c r="J25" i="4"/>
  <c r="I32"/>
  <c r="B78" i="5"/>
  <c r="B79"/>
  <c r="K35" i="8"/>
  <c r="K50"/>
  <c r="G97" i="6"/>
  <c r="C82" i="8" s="1"/>
  <c r="G82" s="1"/>
  <c r="P42" i="5"/>
  <c r="K17" i="8"/>
  <c r="K97"/>
  <c r="K126"/>
  <c r="K89"/>
  <c r="K16"/>
  <c r="K19"/>
  <c r="K12" s="1"/>
  <c r="K91"/>
  <c r="K111"/>
  <c r="G75"/>
  <c r="G79" s="1"/>
  <c r="C112"/>
  <c r="C17" i="5"/>
  <c r="Q13"/>
  <c r="D59" s="1"/>
  <c r="P13"/>
  <c r="C59" s="1"/>
  <c r="G59" s="1"/>
  <c r="C97" i="8"/>
  <c r="C98"/>
  <c r="C101"/>
  <c r="C102"/>
  <c r="C103"/>
  <c r="C61" i="5"/>
  <c r="G61" s="1"/>
  <c r="H61" s="1"/>
  <c r="D18" i="8"/>
  <c r="D11" s="1"/>
  <c r="C60" i="5"/>
  <c r="G60" s="1"/>
  <c r="H30" i="4"/>
  <c r="C114" i="8"/>
  <c r="G114"/>
  <c r="G115"/>
  <c r="C115"/>
  <c r="H33" i="4"/>
  <c r="E91" i="6"/>
  <c r="C81" i="8" s="1"/>
  <c r="G81" s="1"/>
  <c r="J50"/>
  <c r="C127"/>
  <c r="C125"/>
  <c r="C75"/>
  <c r="C28" i="4" s="1"/>
  <c r="D28" s="1"/>
  <c r="K130" i="8"/>
  <c r="J130"/>
  <c r="J102"/>
  <c r="J126"/>
  <c r="C17" i="4"/>
  <c r="D17" s="1"/>
  <c r="K119" i="8"/>
  <c r="J119"/>
  <c r="K32" i="4"/>
  <c r="H29"/>
  <c r="H32"/>
  <c r="H28"/>
  <c r="H25"/>
  <c r="H26"/>
  <c r="H5" i="8"/>
  <c r="H31" i="4"/>
  <c r="J30"/>
  <c r="J26"/>
  <c r="J31"/>
  <c r="K33"/>
  <c r="K30"/>
  <c r="K28"/>
  <c r="K26"/>
  <c r="G108" i="8"/>
  <c r="J107"/>
  <c r="J108" s="1"/>
  <c r="K107"/>
  <c r="K108" s="1"/>
  <c r="K103"/>
  <c r="K25" i="4"/>
  <c r="K29"/>
  <c r="J29"/>
  <c r="J28"/>
  <c r="E18" i="8"/>
  <c r="E11" s="1"/>
  <c r="I33" i="4"/>
  <c r="I26"/>
  <c r="I5" i="8"/>
  <c r="I28" i="4"/>
  <c r="I31"/>
  <c r="I30"/>
  <c r="G22" i="8"/>
  <c r="G25" s="1"/>
  <c r="C22"/>
  <c r="G99"/>
  <c r="J97"/>
  <c r="G105"/>
  <c r="K101"/>
  <c r="K127"/>
  <c r="J127"/>
  <c r="C18"/>
  <c r="C11" s="1"/>
  <c r="C18" i="4" s="1"/>
  <c r="C107" i="8"/>
  <c r="C108" s="1"/>
  <c r="C126"/>
  <c r="F19"/>
  <c r="F12" s="1"/>
  <c r="H59" i="5" l="1"/>
  <c r="G65"/>
  <c r="K58" i="8"/>
  <c r="H12" i="5"/>
  <c r="H13" s="1"/>
  <c r="K49" i="8"/>
  <c r="H58"/>
  <c r="K59"/>
  <c r="G79" i="5"/>
  <c r="J59" i="8"/>
  <c r="J48"/>
  <c r="J58"/>
  <c r="K48"/>
  <c r="J88"/>
  <c r="C25"/>
  <c r="K88"/>
  <c r="J49"/>
  <c r="J20"/>
  <c r="K93"/>
  <c r="I24"/>
  <c r="I13" s="1"/>
  <c r="I68"/>
  <c r="I69"/>
  <c r="I70"/>
  <c r="I71"/>
  <c r="I72"/>
  <c r="H68"/>
  <c r="H69"/>
  <c r="H70"/>
  <c r="H71"/>
  <c r="H72"/>
  <c r="K36"/>
  <c r="J112"/>
  <c r="K99"/>
  <c r="J60"/>
  <c r="J57"/>
  <c r="K52"/>
  <c r="K87"/>
  <c r="K57"/>
  <c r="J87"/>
  <c r="J52"/>
  <c r="K60"/>
  <c r="J24"/>
  <c r="J13" s="1"/>
  <c r="I82"/>
  <c r="J10"/>
  <c r="J99"/>
  <c r="K112"/>
  <c r="K36" i="4"/>
  <c r="H36"/>
  <c r="J105" i="8"/>
  <c r="J36" i="4"/>
  <c r="I36"/>
  <c r="K24" i="8"/>
  <c r="K13" s="1"/>
  <c r="K10"/>
  <c r="K20"/>
  <c r="H24"/>
  <c r="H13" s="1"/>
  <c r="H23"/>
  <c r="J94"/>
  <c r="I85"/>
  <c r="I63"/>
  <c r="I94"/>
  <c r="I62"/>
  <c r="C129"/>
  <c r="G129"/>
  <c r="K129" s="1"/>
  <c r="C95"/>
  <c r="C31" i="4" s="1"/>
  <c r="D31" s="1"/>
  <c r="K94" i="8"/>
  <c r="J63"/>
  <c r="H86"/>
  <c r="H88"/>
  <c r="H90"/>
  <c r="H92"/>
  <c r="H94"/>
  <c r="H62"/>
  <c r="H61"/>
  <c r="H65"/>
  <c r="H87"/>
  <c r="H89"/>
  <c r="H91"/>
  <c r="H93"/>
  <c r="H63"/>
  <c r="H64"/>
  <c r="K85"/>
  <c r="K62"/>
  <c r="K63"/>
  <c r="J62"/>
  <c r="H85"/>
  <c r="J85"/>
  <c r="H60"/>
  <c r="H46"/>
  <c r="H48"/>
  <c r="H50"/>
  <c r="H52"/>
  <c r="H54"/>
  <c r="H56"/>
  <c r="H57"/>
  <c r="H59"/>
  <c r="H45"/>
  <c r="H47"/>
  <c r="H49"/>
  <c r="H51"/>
  <c r="H53"/>
  <c r="H55"/>
  <c r="I45"/>
  <c r="I47"/>
  <c r="I49"/>
  <c r="I51"/>
  <c r="I53"/>
  <c r="I55"/>
  <c r="I57"/>
  <c r="I59"/>
  <c r="I61"/>
  <c r="I46"/>
  <c r="I48"/>
  <c r="I50"/>
  <c r="I52"/>
  <c r="I54"/>
  <c r="I56"/>
  <c r="I58"/>
  <c r="I60"/>
  <c r="H116"/>
  <c r="K54"/>
  <c r="K65"/>
  <c r="H60" i="5"/>
  <c r="H65" s="1"/>
  <c r="G25" i="10"/>
  <c r="G128" i="8" s="1"/>
  <c r="K47"/>
  <c r="K53"/>
  <c r="K46"/>
  <c r="K61"/>
  <c r="K51"/>
  <c r="J61"/>
  <c r="C78" i="5"/>
  <c r="G78" s="1"/>
  <c r="H78" s="1"/>
  <c r="D18" i="4"/>
  <c r="C79" i="8"/>
  <c r="C33" i="4"/>
  <c r="D33" s="1"/>
  <c r="G95" i="8"/>
  <c r="C99"/>
  <c r="C105"/>
  <c r="C120"/>
  <c r="G120"/>
  <c r="K45"/>
  <c r="J129"/>
  <c r="K66"/>
  <c r="K56"/>
  <c r="I64"/>
  <c r="I65"/>
  <c r="I66"/>
  <c r="I84"/>
  <c r="I86"/>
  <c r="I83"/>
  <c r="J84"/>
  <c r="J65"/>
  <c r="J56"/>
  <c r="J54"/>
  <c r="J53"/>
  <c r="J51"/>
  <c r="J47"/>
  <c r="J45"/>
  <c r="J83"/>
  <c r="K83"/>
  <c r="K84"/>
  <c r="H83"/>
  <c r="H66"/>
  <c r="H84"/>
  <c r="J86"/>
  <c r="J66"/>
  <c r="J64"/>
  <c r="J55"/>
  <c r="J46"/>
  <c r="K86"/>
  <c r="K64"/>
  <c r="K55"/>
  <c r="K75"/>
  <c r="K79" s="1"/>
  <c r="K105"/>
  <c r="K118"/>
  <c r="J118"/>
  <c r="K22"/>
  <c r="G9"/>
  <c r="G14" s="1"/>
  <c r="J22"/>
  <c r="C30" i="4"/>
  <c r="J81" i="8"/>
  <c r="H19"/>
  <c r="H12" s="1"/>
  <c r="H97"/>
  <c r="H103"/>
  <c r="H111"/>
  <c r="H18"/>
  <c r="H11" s="1"/>
  <c r="H124"/>
  <c r="H44"/>
  <c r="J116"/>
  <c r="H40"/>
  <c r="H31" s="1"/>
  <c r="H75"/>
  <c r="H79" s="1"/>
  <c r="H119"/>
  <c r="H123"/>
  <c r="H22"/>
  <c r="H17"/>
  <c r="G5"/>
  <c r="H125"/>
  <c r="H102"/>
  <c r="H107"/>
  <c r="H108" s="1"/>
  <c r="K116"/>
  <c r="H104"/>
  <c r="H35"/>
  <c r="H101"/>
  <c r="H110"/>
  <c r="H130"/>
  <c r="H16"/>
  <c r="J44"/>
  <c r="H118"/>
  <c r="K44"/>
  <c r="H127"/>
  <c r="H98"/>
  <c r="H126"/>
  <c r="H114"/>
  <c r="K123"/>
  <c r="H34"/>
  <c r="I115"/>
  <c r="K124"/>
  <c r="K115"/>
  <c r="H115"/>
  <c r="K40"/>
  <c r="K31" s="1"/>
  <c r="J114"/>
  <c r="I35"/>
  <c r="I17"/>
  <c r="I97"/>
  <c r="I125"/>
  <c r="I126"/>
  <c r="I98"/>
  <c r="I34"/>
  <c r="I44"/>
  <c r="I119"/>
  <c r="I118"/>
  <c r="I116"/>
  <c r="I75"/>
  <c r="I79" s="1"/>
  <c r="I123"/>
  <c r="I23"/>
  <c r="I18"/>
  <c r="I11" s="1"/>
  <c r="I19"/>
  <c r="I12" s="1"/>
  <c r="I89"/>
  <c r="I104"/>
  <c r="I127"/>
  <c r="I103"/>
  <c r="I91"/>
  <c r="I40"/>
  <c r="I31" s="1"/>
  <c r="I101"/>
  <c r="I90"/>
  <c r="I129"/>
  <c r="I102"/>
  <c r="I22"/>
  <c r="I114"/>
  <c r="I130"/>
  <c r="I88"/>
  <c r="I87"/>
  <c r="I124"/>
  <c r="I93"/>
  <c r="I107"/>
  <c r="I108" s="1"/>
  <c r="I92"/>
  <c r="I16"/>
  <c r="I111"/>
  <c r="I110"/>
  <c r="F18"/>
  <c r="F11" s="1"/>
  <c r="J115"/>
  <c r="J123"/>
  <c r="J75"/>
  <c r="J79" s="1"/>
  <c r="J40"/>
  <c r="J31" s="1"/>
  <c r="K114"/>
  <c r="J124"/>
  <c r="H79" i="5" l="1"/>
  <c r="H86" s="1"/>
  <c r="G39" i="8" s="1"/>
  <c r="G86" i="5"/>
  <c r="J25" i="8"/>
  <c r="G38"/>
  <c r="K140"/>
  <c r="J117"/>
  <c r="J120" s="1"/>
  <c r="K82"/>
  <c r="H82"/>
  <c r="J82"/>
  <c r="J95" s="1"/>
  <c r="H81"/>
  <c r="K81"/>
  <c r="I81"/>
  <c r="I95" s="1"/>
  <c r="K25"/>
  <c r="H117"/>
  <c r="H120" s="1"/>
  <c r="D34"/>
  <c r="C17"/>
  <c r="C10" s="1"/>
  <c r="D17"/>
  <c r="H129"/>
  <c r="C128"/>
  <c r="C131" s="1"/>
  <c r="C32" i="4" s="1"/>
  <c r="D32" s="1"/>
  <c r="H9" i="8"/>
  <c r="H10"/>
  <c r="I25"/>
  <c r="H25"/>
  <c r="H140"/>
  <c r="G131"/>
  <c r="H128"/>
  <c r="H131" s="1"/>
  <c r="K117"/>
  <c r="K120" s="1"/>
  <c r="I128"/>
  <c r="I131" s="1"/>
  <c r="J128"/>
  <c r="J131" s="1"/>
  <c r="I117"/>
  <c r="I120" s="1"/>
  <c r="M15" i="4"/>
  <c r="O15"/>
  <c r="P15" s="1"/>
  <c r="K128" i="8"/>
  <c r="K131" s="1"/>
  <c r="C16"/>
  <c r="C9" s="1"/>
  <c r="J140"/>
  <c r="I140"/>
  <c r="K67"/>
  <c r="K73" s="1"/>
  <c r="J67"/>
  <c r="J73" s="1"/>
  <c r="H67"/>
  <c r="H73" s="1"/>
  <c r="I67"/>
  <c r="I73" s="1"/>
  <c r="H99"/>
  <c r="H112"/>
  <c r="I112"/>
  <c r="I105"/>
  <c r="I20"/>
  <c r="I9"/>
  <c r="H20"/>
  <c r="I36"/>
  <c r="H36"/>
  <c r="J9"/>
  <c r="J14" s="1"/>
  <c r="D16"/>
  <c r="D9" s="1"/>
  <c r="I10"/>
  <c r="I99"/>
  <c r="H105"/>
  <c r="K9"/>
  <c r="K14" s="1"/>
  <c r="C29" i="4" l="1"/>
  <c r="D29" s="1"/>
  <c r="H95" i="8"/>
  <c r="K95"/>
  <c r="C39"/>
  <c r="C27" i="4" s="1"/>
  <c r="D27" s="1"/>
  <c r="C34" i="8"/>
  <c r="C35"/>
  <c r="D35"/>
  <c r="D30" s="1"/>
  <c r="C14"/>
  <c r="H14"/>
  <c r="I14"/>
  <c r="C38"/>
  <c r="C25" i="4" s="1"/>
  <c r="M16"/>
  <c r="N15"/>
  <c r="E34" i="8" s="1"/>
  <c r="E140"/>
  <c r="D29"/>
  <c r="G30"/>
  <c r="J39"/>
  <c r="J30" s="1"/>
  <c r="K39"/>
  <c r="K30" s="1"/>
  <c r="H39"/>
  <c r="H30" s="1"/>
  <c r="I39"/>
  <c r="I30" s="1"/>
  <c r="D30" i="4"/>
  <c r="D20" i="8"/>
  <c r="D10"/>
  <c r="D14" s="1"/>
  <c r="G41"/>
  <c r="J38"/>
  <c r="K38"/>
  <c r="G29"/>
  <c r="H38"/>
  <c r="I38"/>
  <c r="C20"/>
  <c r="J19" i="4"/>
  <c r="F16" i="8"/>
  <c r="O16" i="4"/>
  <c r="E16" i="8"/>
  <c r="F34"/>
  <c r="C36" l="1"/>
  <c r="C24" i="4"/>
  <c r="C41" i="8"/>
  <c r="C16" i="4"/>
  <c r="D16" s="1"/>
  <c r="C30" i="8"/>
  <c r="D36"/>
  <c r="F17"/>
  <c r="F10" s="1"/>
  <c r="P16" i="4"/>
  <c r="F35" i="8" s="1"/>
  <c r="F30" s="1"/>
  <c r="D32"/>
  <c r="D121" s="1"/>
  <c r="D132" s="1"/>
  <c r="D141" s="1"/>
  <c r="C29"/>
  <c r="G32"/>
  <c r="G121" s="1"/>
  <c r="G132" s="1"/>
  <c r="F140"/>
  <c r="F29"/>
  <c r="E29"/>
  <c r="E17"/>
  <c r="E10" s="1"/>
  <c r="N16" i="4"/>
  <c r="E35" i="8" s="1"/>
  <c r="E30" s="1"/>
  <c r="F9"/>
  <c r="D25" i="4"/>
  <c r="D24" s="1"/>
  <c r="C15"/>
  <c r="H41" i="8"/>
  <c r="H29"/>
  <c r="H32" s="1"/>
  <c r="H121" s="1"/>
  <c r="H132" s="1"/>
  <c r="K29"/>
  <c r="K32" s="1"/>
  <c r="K121" s="1"/>
  <c r="K41"/>
  <c r="E9"/>
  <c r="I41"/>
  <c r="I29"/>
  <c r="I32" s="1"/>
  <c r="I121" s="1"/>
  <c r="I132" s="1"/>
  <c r="J29"/>
  <c r="J32" s="1"/>
  <c r="J121" s="1"/>
  <c r="J41"/>
  <c r="J132" l="1"/>
  <c r="J141" s="1"/>
  <c r="K132"/>
  <c r="K141" s="1"/>
  <c r="C14" i="4"/>
  <c r="C13" s="1"/>
  <c r="C32" i="8"/>
  <c r="C121" s="1"/>
  <c r="C132" s="1"/>
  <c r="C141" s="1"/>
  <c r="F14"/>
  <c r="E14"/>
  <c r="F20"/>
  <c r="H141"/>
  <c r="G141"/>
  <c r="F36"/>
  <c r="F32"/>
  <c r="F121" s="1"/>
  <c r="F132" s="1"/>
  <c r="I141"/>
  <c r="E32"/>
  <c r="E121" s="1"/>
  <c r="D15" i="4"/>
  <c r="D14" s="1"/>
  <c r="D13" s="1"/>
  <c r="E20" i="8"/>
  <c r="E36"/>
  <c r="F141" l="1"/>
  <c r="E132"/>
  <c r="E141" s="1"/>
</calcChain>
</file>

<file path=xl/sharedStrings.xml><?xml version="1.0" encoding="utf-8"?>
<sst xmlns="http://schemas.openxmlformats.org/spreadsheetml/2006/main" count="1008" uniqueCount="390">
  <si>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</si>
  <si>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</si>
  <si>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t>Вид муниципального учреждения</t>
  </si>
  <si>
    <t>по ОКВЭД</t>
  </si>
  <si>
    <t>Форма по ОКУД</t>
  </si>
  <si>
    <t>0506001</t>
  </si>
  <si>
    <t>Коды</t>
  </si>
  <si>
    <t>УТВЕРЖДАЮ</t>
  </si>
  <si>
    <r>
      <t xml:space="preserve">Раздел </t>
    </r>
    <r>
      <rPr>
        <u/>
        <sz val="11"/>
        <color indexed="8"/>
        <rFont val="Times New Roman"/>
        <family val="1"/>
        <charset val="204"/>
      </rPr>
      <t xml:space="preserve">           .</t>
    </r>
  </si>
  <si>
    <t>1. Наименование муниципальной услуги</t>
  </si>
  <si>
    <t>2. Категории потребителей муниципальной услуги</t>
  </si>
  <si>
    <t>Уникальный номер</t>
  </si>
  <si>
    <t>по базовому (отраслевому)</t>
  </si>
  <si>
    <t>перечню</t>
  </si>
  <si>
    <t>3. Показатели, характеризующие объем и (или) качество муниципальной услуги:</t>
  </si>
  <si>
    <t>Начальник Управления образования</t>
  </si>
  <si>
    <t>города Пензы</t>
  </si>
  <si>
    <r>
      <rPr>
        <u/>
        <sz val="11"/>
        <color indexed="8"/>
        <rFont val="Times New Roman"/>
        <family val="1"/>
        <charset val="204"/>
      </rPr>
      <t xml:space="preserve">                                    </t>
    </r>
    <r>
      <rPr>
        <sz val="11"/>
        <color indexed="8"/>
        <rFont val="Times New Roman"/>
        <family val="1"/>
        <charset val="204"/>
      </rPr>
      <t>Ю.А.Голодяев</t>
    </r>
  </si>
  <si>
    <t>3.1. Показатели, характеризующие качество муниципальной услуги &lt;2&gt;:</t>
  </si>
  <si>
    <t>Уникальный номер реестровой записи</t>
  </si>
  <si>
    <t>(наименование показателя)</t>
  </si>
  <si>
    <t>Показатель качества муниципальной услуги</t>
  </si>
  <si>
    <t>Значение показателя качества муниципальной услуги</t>
  </si>
  <si>
    <t>единица измерения по ОКЕИ</t>
  </si>
  <si>
    <t>код</t>
  </si>
  <si>
    <t>наименование</t>
  </si>
  <si>
    <t>Наименование показателя</t>
  </si>
  <si>
    <t>2016 год (очередной финансовый год)</t>
  </si>
  <si>
    <t>2017 год (1-й год планового периода)</t>
  </si>
  <si>
    <t>2018 год (2-й год планового периода)</t>
  </si>
  <si>
    <t>выполненным (процентов)</t>
  </si>
  <si>
    <t>Показатель объема муниципальной услуги</t>
  </si>
  <si>
    <t>Значение показателя объема муниципальной услуги</t>
  </si>
  <si>
    <t>наименование на оказание муниципальной услуги (работы)</t>
  </si>
  <si>
    <t>&lt;1&gt; 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</t>
  </si>
  <si>
    <t>услуги (услуг) раздельно по каждой из муниципальных услуг с указанием порядкового номера раздела</t>
  </si>
  <si>
    <t>&lt;2&gt; Заполняется при установлении показателей, характеризующих качество муниципальной услуги, в ведомственном перечне муниципальных услуг и работ</t>
  </si>
  <si>
    <t>3.2. Показатели, характеризующие объем муниципальной услуги:</t>
  </si>
  <si>
    <t>4. Нормативные правовые акты, устанавливающие размер платы (цену, тариф) либо порядок ее (его) установления:</t>
  </si>
  <si>
    <t>вид</t>
  </si>
  <si>
    <t>принявший орган</t>
  </si>
  <si>
    <t>дата</t>
  </si>
  <si>
    <t>номер</t>
  </si>
  <si>
    <t>Нормативный правовой акт</t>
  </si>
  <si>
    <t>5. Порядок оказания муниципальной услуги</t>
  </si>
  <si>
    <t>5.1. Нормативные правовые акты, регулирующие порядок оказания муниципальной услуги: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</si>
  <si>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</si>
  <si>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</si>
  <si>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</si>
  <si>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</si>
  <si>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 &lt;1&gt;</t>
  </si>
  <si>
    <t>1. Наименование работы</t>
  </si>
  <si>
    <t>2. Категории потребителей работы</t>
  </si>
  <si>
    <t>3. Показатели, характеризующие объем и (или) качество работы:</t>
  </si>
  <si>
    <t>3.1. Показатели, характеризующие качество работы &lt;2&gt;:</t>
  </si>
  <si>
    <t>Показатель, характеризующий содержание работы (по справочникам)</t>
  </si>
  <si>
    <t>Показатель, характеризующий условия (формы)  выполнения работы (по справочникам)</t>
  </si>
  <si>
    <t>Показатель качества работы</t>
  </si>
  <si>
    <t>Значение показателя качества работы</t>
  </si>
  <si>
    <t xml:space="preserve">допустимые (возможные) отклонения от установленных показателей качества работы, в пределах которых муниципальное задание считается </t>
  </si>
  <si>
    <t>3.2. Показатели, характеризующие объем работы:</t>
  </si>
  <si>
    <t>Показатель объема работы</t>
  </si>
  <si>
    <t>Значение показателя объема работы</t>
  </si>
  <si>
    <t>Показатель, характеризующий условия (формы) выполнения работы (по справочникам)</t>
  </si>
  <si>
    <t xml:space="preserve">допустимые (возможные) отклонения от установленных показателей объема работы, в пределах которых муниципальное задание считается </t>
  </si>
  <si>
    <t>2. Иная информация, необходимая для выполнения (контроля за выполнением) муниципального задания</t>
  </si>
  <si>
    <t>Форма контроля</t>
  </si>
  <si>
    <t>Периодичность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</si>
  <si>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</si>
  <si>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</si>
  <si>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</si>
  <si>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</si>
  <si>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Дошкольная образовательная организация</t>
  </si>
  <si>
    <t>Образование и наука</t>
  </si>
  <si>
    <t>Реализация основных общеобразовательных программ</t>
  </si>
  <si>
    <t>дошкольного образования</t>
  </si>
  <si>
    <t>Физические лица в возрасте до 8 лет</t>
  </si>
  <si>
    <t>не указано</t>
  </si>
  <si>
    <t>От 1 года до 3 лет</t>
  </si>
  <si>
    <t>очная</t>
  </si>
  <si>
    <t>От 3 лет до 8 лет</t>
  </si>
  <si>
    <t>001. Доля детей в возрасте 1 - 3 лет, получающих дошкольную образовательную услугу в муниципальных образовательных учреждениях, в общей численности детей в возрасте 1 - 3 лет;002. Удельный вес дошкольных образовательных учреждений, реализующих основную общеобразовательную программу в рамках введения ФГОС дошкольного образования в общем количестве дошкольных образовательных учреждений</t>
  </si>
  <si>
    <t>001. Доля детей в возрасте 3 - 8 лет, получающих дошкольную образовательную услугу в муниципальных образовательных учреждениях, в общей численности детей в возрасте 3 - 8 лет;002. Удельный вес дошкольных образовательных учреждений, реализующих основную общеобразовательную программу в рамках введения ФГОС дошкольного образования в общем количестве дошкольных образовательных учреждений</t>
  </si>
  <si>
    <t>001. Процент; 002. Процент.</t>
  </si>
  <si>
    <t>001. 744; 002. 744.</t>
  </si>
  <si>
    <t>число обучающихся</t>
  </si>
  <si>
    <t>человек</t>
  </si>
  <si>
    <r>
      <t xml:space="preserve">Раздел </t>
    </r>
    <r>
      <rPr>
        <u/>
        <sz val="11"/>
        <color indexed="8"/>
        <rFont val="Times New Roman"/>
        <family val="1"/>
        <charset val="204"/>
      </rPr>
      <t xml:space="preserve">   1    .</t>
    </r>
  </si>
  <si>
    <r>
      <t xml:space="preserve">Раздел </t>
    </r>
    <r>
      <rPr>
        <u/>
        <sz val="11"/>
        <color indexed="8"/>
        <rFont val="Times New Roman"/>
        <family val="1"/>
        <charset val="204"/>
      </rPr>
      <t xml:space="preserve">   2      .</t>
    </r>
  </si>
  <si>
    <t>Присмотр и уход</t>
  </si>
  <si>
    <t>Проверка</t>
  </si>
  <si>
    <t>КОСГУ</t>
  </si>
  <si>
    <t>смета</t>
  </si>
  <si>
    <t>норматив</t>
  </si>
  <si>
    <t>отклонение</t>
  </si>
  <si>
    <t>доведение</t>
  </si>
  <si>
    <t>от 1 до 3</t>
  </si>
  <si>
    <t>повышение квалификации</t>
  </si>
  <si>
    <t>с 3 до 8</t>
  </si>
  <si>
    <t>норматив на 1 ребенка</t>
  </si>
  <si>
    <t>Реализация основных общеобразовательных программ дошкольного образования</t>
  </si>
  <si>
    <t>кол-во детей</t>
  </si>
  <si>
    <t>в том числе инвалиды</t>
  </si>
  <si>
    <t>субвенция</t>
  </si>
  <si>
    <t>местный</t>
  </si>
  <si>
    <t>Обучающиеся, за исключением детей-инвалидов и инвалидов</t>
  </si>
  <si>
    <t>дети-инвалиды</t>
  </si>
  <si>
    <t>Доля детей в возрасте 1 - 3 лет, получающих услугу по присмотру и уходу, в общей численности детей в возрасте 1 - 3 лет</t>
  </si>
  <si>
    <t>Доля детей в возрасте 3 - 8 лет, получающих услугу по присмотру и уходу, в общей численности детей в возрасте 3 - 8 лет</t>
  </si>
  <si>
    <t>Процент</t>
  </si>
  <si>
    <t>число детей</t>
  </si>
  <si>
    <t>приложение 1</t>
  </si>
  <si>
    <t>Нормативные затраты на оплату труда и начисления на выплаты по оплате труда персонала, принимающего непосредственное участие в оказании муниципальной услуги (за счет бюджета Пензенской области)</t>
  </si>
  <si>
    <t>кол-во педагогических ставок</t>
  </si>
  <si>
    <t>Оклад с учетом k специфики</t>
  </si>
  <si>
    <t>k стимулирования</t>
  </si>
  <si>
    <t>количество месяцев</t>
  </si>
  <si>
    <t>k увеличения</t>
  </si>
  <si>
    <t>начисления на оплату труда</t>
  </si>
  <si>
    <t>Субвенция</t>
  </si>
  <si>
    <t>ФЗП в мес</t>
  </si>
  <si>
    <t>ставки</t>
  </si>
  <si>
    <t>без стимуляции</t>
  </si>
  <si>
    <t>стимуляция</t>
  </si>
  <si>
    <t>всего</t>
  </si>
  <si>
    <t>прочие</t>
  </si>
  <si>
    <t>Норматив   на   приобретение   материальных   запасов, потребляемых в процессе оказания муниципальной услуги</t>
  </si>
  <si>
    <t xml:space="preserve">количество </t>
  </si>
  <si>
    <t>Расходы  на   приобретение   материальных   запасов, потребляемых в процессе оказания муниципальной услуги</t>
  </si>
  <si>
    <t>учебные расходы</t>
  </si>
  <si>
    <t>доп. проф. образование педагогических работников</t>
  </si>
  <si>
    <t>Нормативные затраты на оплату труда и начисления на выплаты по оплате труда персонала, принимающего непосредственное участие в оказании муниципальной услуги (за счет бюджета города Пензы)</t>
  </si>
  <si>
    <t>Субсидия</t>
  </si>
  <si>
    <t>приложение 2</t>
  </si>
  <si>
    <t>Нормативные затраты на оплату труда и начисления на выплаты по оплате труда персонала, не принимающего непосредственное участие в оказании муниципальной услуги (за счет бюджета Пензенской области)</t>
  </si>
  <si>
    <t>кол-во ставок</t>
  </si>
  <si>
    <t>Нормативные затраты на оплату труда и начисления на выплаты по оплате труда персонала, не принимающего непосредственное участие в оказании муниципальной услуги (за счет бюджета города Пензы)</t>
  </si>
  <si>
    <t xml:space="preserve"> </t>
  </si>
  <si>
    <t>норматив на а компенсационные выплаты по уходу за ребенком</t>
  </si>
  <si>
    <t>количество работников, имеющих право на получение компенсационных выплат по уходу за ребенком</t>
  </si>
  <si>
    <t>расходы на на получение компенсационных выплат по уходу за ребенком</t>
  </si>
  <si>
    <t>приложение 3</t>
  </si>
  <si>
    <t xml:space="preserve">Нормативные затраты на содержание недвижимого имущества </t>
  </si>
  <si>
    <t>стоимость</t>
  </si>
  <si>
    <t>количество ед. услуг</t>
  </si>
  <si>
    <t xml:space="preserve">нормативные затраты </t>
  </si>
  <si>
    <t>вывоз мусора</t>
  </si>
  <si>
    <t>*</t>
  </si>
  <si>
    <t>дератизация</t>
  </si>
  <si>
    <t>АПС</t>
  </si>
  <si>
    <t>замер сопротивления</t>
  </si>
  <si>
    <t xml:space="preserve">Нормативные затраты на приобретение услуг связи и приобретение транспортных услуг </t>
  </si>
  <si>
    <t>приобретение услуг связи (абонентская плата)</t>
  </si>
  <si>
    <t>поминутная оплата</t>
  </si>
  <si>
    <t>итого</t>
  </si>
  <si>
    <t xml:space="preserve">приобретение транспортных услуг </t>
  </si>
  <si>
    <t>Объем прочих затрат на общехозяйственные нужды</t>
  </si>
  <si>
    <t xml:space="preserve"> объем прочих затрат на общехозяйственные нужды</t>
  </si>
  <si>
    <t>Затраты на хоз.нужды</t>
  </si>
  <si>
    <t>Прочие нормативные затраты на общехозяйственные нужды</t>
  </si>
  <si>
    <t>Электронная отчетность</t>
  </si>
  <si>
    <t>приложение 4</t>
  </si>
  <si>
    <t xml:space="preserve">Нормативные затраты на содержание движимого имущества </t>
  </si>
  <si>
    <t>Тех.обслуживание</t>
  </si>
  <si>
    <t>Текущий ремонт</t>
  </si>
  <si>
    <t>Тревожная кнопка</t>
  </si>
  <si>
    <t>Нормативные затраты на материальные запасы</t>
  </si>
  <si>
    <t>ГСМ</t>
  </si>
  <si>
    <t>Зап.части</t>
  </si>
  <si>
    <t>Лакокрасочные материалы</t>
  </si>
  <si>
    <t xml:space="preserve"> Нормативные затраты на обязательное страхование гражданской ответственности владельцев транспортных средств</t>
  </si>
  <si>
    <t>тариф</t>
  </si>
  <si>
    <t>объем потребления</t>
  </si>
  <si>
    <t>нормативные затраты на коммунальные услуги</t>
  </si>
  <si>
    <t>Автострахование</t>
  </si>
  <si>
    <t xml:space="preserve"> Прочие нормативные затраты на содержание  движимого имущества</t>
  </si>
  <si>
    <t>Определение нормативных затрат на оказание муниципальной услуги</t>
  </si>
  <si>
    <t>Объем приобретаемых муниципальных услуг (выполняемых работ) в стоимостных показателях</t>
  </si>
  <si>
    <t xml:space="preserve">Наименование приобретаемых муниципальных услуг </t>
  </si>
  <si>
    <t>Единица измерения</t>
  </si>
  <si>
    <t>Норматив финансовых затрат на единицу приобретаемой муниципальной услуги (выполняемой работы) (руб.)</t>
  </si>
  <si>
    <t>Общий объем приобретаемых муниципальных услуг (выполняемых работ) (руб)</t>
  </si>
  <si>
    <t>1. Затраты, непосредственно связанные с оказанием муниципальной услуги. (приложение1)</t>
  </si>
  <si>
    <t>затраты на оплату труда  персонала, принимающего непосредственное участие в оказании муниципальной услуги</t>
  </si>
  <si>
    <t>руб.</t>
  </si>
  <si>
    <t>затраты на  начисления на выплаты по оплате труда и персонала, принимающего непосредственное участие в оказании муниципальной услуги</t>
  </si>
  <si>
    <t>Нормативные   затраты   на   приобретение   материальных   запасов, потребляемых в процессе оказания муниципальной услуги</t>
  </si>
  <si>
    <t xml:space="preserve"> затраты на доп. проф. образование педагогических работников</t>
  </si>
  <si>
    <t>1.1 В том числе затраты, непосредственно связанные с оказанием муниципальной услуги. (за счет бюджета Пензенской области)</t>
  </si>
  <si>
    <t>1.2 В том числе затраты, непосредственно связанные с оказанием муниципальной услуги. (за счет бюджета города Пензы)</t>
  </si>
  <si>
    <t>2. Затраты, на общехозяйственные нужды.</t>
  </si>
  <si>
    <t>2.1 Затраты на оплату труда и начисления на выплаты по оплате труда  персонала, не принимающего непосредственное участие в оказании муниципальной услуги (приложение2)</t>
  </si>
  <si>
    <t>затраты на оплату труда  персонала, не принимающего непосредственное участие в оказании муниципальной услуги</t>
  </si>
  <si>
    <t>затраты на  начисления на выплаты по оплате труда  персонала, не принимающего непосредственное участие в оказании муниципальной услуги</t>
  </si>
  <si>
    <t>затраты на компенсационные выплаты по уходу за ребенком</t>
  </si>
  <si>
    <t>2.1.1 в том числе затраты на оплату труда и начисления на выплаты по оплате труда  персонала, не принимающего непосредственное участие в оказании муниципальной услуги (за счет бюджета Пензенской области)</t>
  </si>
  <si>
    <t>2.1.2 в том числе затраты на оплату труда и начисления на выплаты по оплате труда  персонала, не принимающего непосредственное участие в оказании муниципальной услуги (за счет бюджета города Пензы)</t>
  </si>
  <si>
    <t>2.2 Затраты на содержание недвижимого имущества (приложение3)</t>
  </si>
  <si>
    <t>2.3. Затраты на приобретение услуг связи (приложение3)</t>
  </si>
  <si>
    <t xml:space="preserve">приобретение услуг связи </t>
  </si>
  <si>
    <t>2.4.Прочие нормативные затраты на общехозяйственные нужды (приложение3)</t>
  </si>
  <si>
    <t xml:space="preserve">Всего </t>
  </si>
  <si>
    <t>2.5 Нормативные затраты на техническое обслуживание и текущий ремонт объектов движимого имущества (приложение 4)</t>
  </si>
  <si>
    <t>2.6 Нормативные затраты на материальные запасы (приложение3)</t>
  </si>
  <si>
    <t>2.7 Нормативные затраты на обязательное страхование гражданской ответственности владельцев транспортных средств (приложение 4)</t>
  </si>
  <si>
    <t>2.8 Прочие нормативные затраты на содержание  движимого имущества (приложение 4)</t>
  </si>
  <si>
    <t>2.9. Приобретение коммунальных услуг (приложение 5)</t>
  </si>
  <si>
    <t>холодное водоснабжение</t>
  </si>
  <si>
    <t>водоотведение</t>
  </si>
  <si>
    <t>тепловая  энергия</t>
  </si>
  <si>
    <t>электрическая энергия</t>
  </si>
  <si>
    <t>Всего затраты на общехозяйственные нужды</t>
  </si>
  <si>
    <t>3 Нормативные затраты на содержание имущества  (приложение 6)</t>
  </si>
  <si>
    <t>- налог на имущество</t>
  </si>
  <si>
    <t>- налог на землю</t>
  </si>
  <si>
    <t>транспортный налог</t>
  </si>
  <si>
    <t>экологический сбор</t>
  </si>
  <si>
    <t>гос.пошлина</t>
  </si>
  <si>
    <t>Всего по учреждению</t>
  </si>
  <si>
    <t>Нормативные затраты на коммунальные услуги</t>
  </si>
  <si>
    <t>ед.измерения</t>
  </si>
  <si>
    <t>тариф (руб.)</t>
  </si>
  <si>
    <t>нормативные затраты на коммунальные услуги с учетом увеличения</t>
  </si>
  <si>
    <t>м3</t>
  </si>
  <si>
    <t>горячее водоснабжение</t>
  </si>
  <si>
    <t>гКал</t>
  </si>
  <si>
    <t>кВат</t>
  </si>
  <si>
    <t>приложение 6</t>
  </si>
  <si>
    <t>Нормативные затраты на уплату налогов</t>
  </si>
  <si>
    <t>налогооблагаемая база</t>
  </si>
  <si>
    <t>ставка налога</t>
  </si>
  <si>
    <t xml:space="preserve">Налог на имущество </t>
  </si>
  <si>
    <t xml:space="preserve">Налог на землю  </t>
  </si>
  <si>
    <t>Расчет норматива затрат, непосредственно связанных с оказанием муниципальной услуги</t>
  </si>
  <si>
    <t xml:space="preserve">воспитатели </t>
  </si>
  <si>
    <t>Расчет норматива затрат, непосредственно  не связанных с оказанием муниципальной услуги</t>
  </si>
  <si>
    <t>интернет</t>
  </si>
  <si>
    <t>Гл.бухгалтер</t>
  </si>
  <si>
    <t>тех.обслуживание домофона</t>
  </si>
  <si>
    <t>тех.обслуживание видеонаблюдения</t>
  </si>
  <si>
    <t>тех.обслуживание бассейна</t>
  </si>
  <si>
    <t>тех.обслуживание радиомодема</t>
  </si>
  <si>
    <t>тех.обслуживание теплосчетчиков</t>
  </si>
  <si>
    <t>Лабораторные исследования</t>
  </si>
  <si>
    <t>Очистка кровли</t>
  </si>
  <si>
    <t>Утилизация отходов (ртутосодержащие лампы)</t>
  </si>
  <si>
    <t>Противопожарные мероприятия:</t>
  </si>
  <si>
    <t>Оценка качества огнезащитных работ</t>
  </si>
  <si>
    <t>Обслуживание системы пожаротушения</t>
  </si>
  <si>
    <t>Медосмотр всего:</t>
  </si>
  <si>
    <t>женщины</t>
  </si>
  <si>
    <t>мужчины</t>
  </si>
  <si>
    <t>маммография</t>
  </si>
  <si>
    <t>рентген</t>
  </si>
  <si>
    <t>1С сопровождение</t>
  </si>
  <si>
    <t>Курсы повышения квалификации</t>
  </si>
  <si>
    <t>Договор подряда</t>
  </si>
  <si>
    <t>Реализация основных общеобразовательных программ дошкольного образования (от 1 года до 3 лет)</t>
  </si>
  <si>
    <t>Реализация основных общеобразовательных программ дошкольного образования (от 3 лет до 8 лет)</t>
  </si>
  <si>
    <t>Присмотр и уход (от 1 года до 3 лет)</t>
  </si>
  <si>
    <t>Присмотр и уход (от 3 лет до 8 лет)</t>
  </si>
  <si>
    <t>Присмотр и уход (дети-инвалиды от 1 года до 3 лет)</t>
  </si>
  <si>
    <t>Присмотр и уход (дети-инвалиды от 3 лет до 8 лет)</t>
  </si>
  <si>
    <t>Наименование муниципальной услуги</t>
  </si>
  <si>
    <t>объем муниципальных услуг в натуральных показателях</t>
  </si>
  <si>
    <t xml:space="preserve">Присмотр и уход </t>
  </si>
  <si>
    <t>Приказ</t>
  </si>
  <si>
    <t>Управление образования города Пензы</t>
  </si>
  <si>
    <t>на официальном сайте учреждения</t>
  </si>
  <si>
    <t>приним</t>
  </si>
  <si>
    <t>не приним</t>
  </si>
  <si>
    <t xml:space="preserve">Наименование муниципального учреждения: </t>
  </si>
  <si>
    <t>Заведующий</t>
  </si>
  <si>
    <t>Перевыпуск сертификатов ЭЦП</t>
  </si>
  <si>
    <t>Объем компонента тепловой энергии в горячей воде</t>
  </si>
  <si>
    <t>тех.обслуживание кнопки тревожной сигнализации</t>
  </si>
  <si>
    <t>Испытания пожарных кранов</t>
  </si>
  <si>
    <t xml:space="preserve">электрическая энергия </t>
  </si>
  <si>
    <t>k увеличения нормативных затрат на коммунальные услуги</t>
  </si>
  <si>
    <t>k увеличения нормативных затрат на содеожание имущества</t>
  </si>
  <si>
    <t>1 раз в год</t>
  </si>
  <si>
    <t>группа полного дня</t>
  </si>
  <si>
    <t>Закон Пензенской области</t>
  </si>
  <si>
    <t>Законодательное собрание Пензенской области</t>
  </si>
  <si>
    <t>2999-ЗПО</t>
  </si>
  <si>
    <t>Об установлении нормативов финансового обеспечения образовательной деятельности в Пензенской области</t>
  </si>
  <si>
    <t>85.11</t>
  </si>
  <si>
    <t>ТО огнетушителей</t>
  </si>
  <si>
    <t>кол-во детей на 01.01.2018</t>
  </si>
  <si>
    <t>кол-во детей на 01.09.2018</t>
  </si>
  <si>
    <t>среднегодовое на 2018 год</t>
  </si>
  <si>
    <t>инвалиды на 01.01.2018</t>
  </si>
  <si>
    <t>инвалиды на 01.09.2018</t>
  </si>
  <si>
    <t>кол-во детей на 01.01.2019</t>
  </si>
  <si>
    <t>кол-во детей на 01.09.2019</t>
  </si>
  <si>
    <t>среднегодовое на 2019 год</t>
  </si>
  <si>
    <t xml:space="preserve">Норматив   </t>
  </si>
  <si>
    <t xml:space="preserve">Расходы  </t>
  </si>
  <si>
    <t>226 (119)</t>
  </si>
  <si>
    <t>340 (119)</t>
  </si>
  <si>
    <t>Норматив   на   финансовое обеспечение предупредительных мер по сокращению производственного травматизма и профессиональных заболеваний (за счет бюджета Пензенской области) .</t>
  </si>
  <si>
    <t>Норматив   на   финансовое обеспечение предупредительных мер по сокращению производственного травматизма и профессиональных заболеваний (за счет бюджета города Пензы) .</t>
  </si>
  <si>
    <t>Органы местного самоуправления, осуществляющие контроль за выполнением муниципального задания</t>
  </si>
  <si>
    <t>Показатель, характеризующий содержание муниципальной услуги (по справочникам)</t>
  </si>
  <si>
    <t>Показатель, характеризующий условия (формы) оказания муниципальной услуги (по справочникам)</t>
  </si>
  <si>
    <t xml:space="preserve">единица измерения </t>
  </si>
  <si>
    <t>5.2. Порядок информирования потенциальных потребителей муниципальной услуги:</t>
  </si>
  <si>
    <t>1. Основание (условия и порядок) для досрочного прекращения выполнения муниципального задания</t>
  </si>
  <si>
    <t>на 2018 год и на плановый период 2019 и 2020 годов</t>
  </si>
  <si>
    <t xml:space="preserve"> Код по Сводному реестру</t>
  </si>
  <si>
    <t>2018 год (очередной финансовый год)</t>
  </si>
  <si>
    <t>2019 год (1-й год планового периода)</t>
  </si>
  <si>
    <t>2020 год (2-й год планового периода)</t>
  </si>
  <si>
    <t>Код по общероссийскому базовому перечню или региональному</t>
  </si>
  <si>
    <t>в процентах</t>
  </si>
  <si>
    <t>в абсолютных величинах</t>
  </si>
  <si>
    <t>в соответсвии с постановлением Администрации города Пензы №2147 от 14.12.2015 г. "О порядке формирования муниципального задания на оказание муниципальных услуг (выполнение работ) в отношении муниципальных учреждений и финансового обеспечения выполнения муниципального задания"</t>
  </si>
  <si>
    <t>не позднее 1 февраля финансового года, следующего за отчетным</t>
  </si>
  <si>
    <t xml:space="preserve">Об установлении нормативов на оказание муниципальных услуг (выполнение работ) на 2018 год и плановый период 2019 и 2020 годов в муниципальных учреждениях образования города Пензы, в отношении которых функции и полномочия учредителя осуществляет Управление образования города Пензы.
</t>
  </si>
  <si>
    <t>(указывается вид муниципального учреждения из общероссийского базового  перечня или регионального перечня)</t>
  </si>
  <si>
    <t>211 (М, R)</t>
  </si>
  <si>
    <t>213 (М, R)</t>
  </si>
  <si>
    <t>Госпошлина</t>
  </si>
  <si>
    <t>При распечатывании свода столбцы C, D, G необходимо скрывать!!!!</t>
  </si>
  <si>
    <t>среднегодовое на 2020 год</t>
  </si>
  <si>
    <t>кол-во детей на 01.01.2020</t>
  </si>
  <si>
    <t>кол-во детей на 01.09.2020</t>
  </si>
  <si>
    <t>Огнезащитная обработка</t>
  </si>
  <si>
    <t>промывка, опрессовка</t>
  </si>
  <si>
    <t>Поверка весов (манометров)</t>
  </si>
  <si>
    <t>Проверка источника наружного противопож.водоснабжения</t>
  </si>
  <si>
    <t>Проверка  пожарного крана</t>
  </si>
  <si>
    <t>Поверка теплосчетчиков</t>
  </si>
  <si>
    <t>норматив на 1 ребенка (согласно приказа)</t>
  </si>
  <si>
    <t>Коррект. коэф.</t>
  </si>
  <si>
    <t>Муниципальное автономное дошкольное образовательное учреждение Центр развития ребенка - детский сад № 150 города Пензы "Алый парус"</t>
  </si>
  <si>
    <t>то электроприборов</t>
  </si>
  <si>
    <t>санитарная уборка контейнерной площадки</t>
  </si>
  <si>
    <t>Взносы на кап.ремонт</t>
  </si>
  <si>
    <t>Содержание и ТО дома</t>
  </si>
  <si>
    <t>услуга по организации питания</t>
  </si>
  <si>
    <t>предоставление места ЛКС</t>
  </si>
  <si>
    <t xml:space="preserve"> Дата начала действия</t>
  </si>
  <si>
    <r>
      <t xml:space="preserve"> Дата окончания действия </t>
    </r>
    <r>
      <rPr>
        <vertAlign val="superscript"/>
        <sz val="10"/>
        <color indexed="8"/>
        <rFont val="Times New Roman"/>
        <family val="1"/>
        <charset val="204"/>
      </rPr>
      <t>1</t>
    </r>
  </si>
  <si>
    <t>Часть 1. Сведения об оказываемых муниципальных услугах &lt;2&gt;</t>
  </si>
  <si>
    <t>3.1. Показатели, характеризующие качество муниципальной услуги &lt;3&gt;:</t>
  </si>
  <si>
    <r>
      <t xml:space="preserve">Уникальный номер реестровой записи </t>
    </r>
    <r>
      <rPr>
        <vertAlign val="superscript"/>
        <sz val="8"/>
        <color indexed="8"/>
        <rFont val="Times New Roman"/>
        <family val="1"/>
        <charset val="204"/>
      </rPr>
      <t>4</t>
    </r>
  </si>
  <si>
    <r>
      <t xml:space="preserve">Допустимые (возможные) отклонения от установленных показателей качества муниципальной услуги </t>
    </r>
    <r>
      <rPr>
        <vertAlign val="superscript"/>
        <sz val="8"/>
        <rFont val="Times New Roman"/>
        <family val="1"/>
        <charset val="204"/>
      </rPr>
      <t>6</t>
    </r>
  </si>
  <si>
    <r>
      <t xml:space="preserve">(наименование показателя </t>
    </r>
    <r>
      <rPr>
        <vertAlign val="superscript"/>
        <sz val="8"/>
        <color indexed="8"/>
        <rFont val="Times New Roman"/>
        <family val="1"/>
        <charset val="204"/>
      </rPr>
      <t>4</t>
    </r>
    <r>
      <rPr>
        <sz val="8"/>
        <color indexed="8"/>
        <rFont val="Times New Roman"/>
        <family val="1"/>
        <charset val="204"/>
      </rPr>
      <t>)</t>
    </r>
  </si>
  <si>
    <r>
      <t xml:space="preserve">Наименование показателя </t>
    </r>
    <r>
      <rPr>
        <vertAlign val="superscript"/>
        <sz val="8"/>
        <color indexed="8"/>
        <rFont val="Times New Roman"/>
        <family val="1"/>
        <charset val="204"/>
      </rPr>
      <t>4</t>
    </r>
  </si>
  <si>
    <r>
      <t xml:space="preserve">наименование </t>
    </r>
    <r>
      <rPr>
        <vertAlign val="superscript"/>
        <sz val="8"/>
        <color indexed="8"/>
        <rFont val="Times New Roman"/>
        <family val="1"/>
        <charset val="204"/>
      </rPr>
      <t>4</t>
    </r>
  </si>
  <si>
    <r>
      <t xml:space="preserve">код по ОКЕИ </t>
    </r>
    <r>
      <rPr>
        <vertAlign val="superscript"/>
        <sz val="8"/>
        <color indexed="8"/>
        <rFont val="Times New Roman"/>
        <family val="1"/>
        <charset val="204"/>
      </rPr>
      <t>5</t>
    </r>
  </si>
  <si>
    <r>
      <t xml:space="preserve">Размер платы (цена, тариф) </t>
    </r>
    <r>
      <rPr>
        <vertAlign val="superscript"/>
        <sz val="8"/>
        <rFont val="Times New Roman"/>
        <family val="1"/>
        <charset val="204"/>
      </rPr>
      <t>7</t>
    </r>
  </si>
  <si>
    <r>
      <t xml:space="preserve">Допустимые (возможные) отклонения от установленных показателей объема муниципальной услуги </t>
    </r>
    <r>
      <rPr>
        <vertAlign val="superscript"/>
        <sz val="8"/>
        <rFont val="Times New Roman"/>
        <family val="1"/>
        <charset val="204"/>
      </rPr>
      <t>6</t>
    </r>
  </si>
  <si>
    <r>
      <t xml:space="preserve">Наименование показателя </t>
    </r>
    <r>
      <rPr>
        <vertAlign val="superscript"/>
        <sz val="8"/>
        <rFont val="Times New Roman"/>
        <family val="1"/>
        <charset val="204"/>
      </rPr>
      <t>4</t>
    </r>
  </si>
  <si>
    <t>единица измерения</t>
  </si>
  <si>
    <r>
      <t xml:space="preserve">наименование </t>
    </r>
    <r>
      <rPr>
        <vertAlign val="superscript"/>
        <sz val="8"/>
        <rFont val="Times New Roman"/>
        <family val="1"/>
        <charset val="204"/>
      </rPr>
      <t>4</t>
    </r>
  </si>
  <si>
    <r>
      <t xml:space="preserve">код по ОКЕИ </t>
    </r>
    <r>
      <rPr>
        <vertAlign val="superscript"/>
        <sz val="8"/>
        <rFont val="Times New Roman"/>
        <family val="1"/>
        <charset val="204"/>
      </rPr>
      <t>5</t>
    </r>
  </si>
  <si>
    <t>Федеральный закон от 29.12.2012 №273-ФЗ «Об образовании в Российской Федерации» (с изменениями и дополнениями)</t>
  </si>
  <si>
    <t>Федеральный закон от 06.10.2003 №131-ФЗ «Об общих принципах организации местного самоуправления в Российской Федрации» (с изменениями и дополнениями)</t>
  </si>
  <si>
    <t xml:space="preserve"> Приказ Министерства образования и науки Российской Федерации от 30.08.2013 № 1014 «Об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дошкольного образования»; (с изменениями и дополнениями)</t>
  </si>
  <si>
    <t xml:space="preserve"> Приказ Министерства образования и науки Российской Федерации от 17.10.2013 № 1155 «Об утверждении федерального государственного образовательного стандарта дошкольного образования»; (с изменениями и дополнениями)</t>
  </si>
  <si>
    <t xml:space="preserve"> Постановление Главного государственного санитарного врача Российской Федерации от 15.05.2013 г. № 26 «Об утверждении СанПиН 2.4.1.3049-13 «Санитарно эпидемиологические требования к устройству, содержанию и организации режима работы дошкольных образовательных организаций» (с изменениями и дополнениями)</t>
  </si>
  <si>
    <t xml:space="preserve">1. Общие сведения (полное наименование образовательного учреждения, тип и вид 
учреждения,  адрес образовательного учреждения; Ф.И.О. руководителя 
образовательного учреждения; контактная информация для связи с образовательным 
учрежде
нием (телефоны,  факс, адрес электронной почты, адрес сайта);
и.т.д.);
2. Документы (устав образовательного учреждения;  программа развития 
образовательного учреждения;  другие локальные нормативные акты);
3. Учебная и воспитательная деятельность (образова
тельная программа учреждения, 
учебный план; содержание реализуемой образовательной программы и 
дополнительных образовательных программ; и.т.д.);
4.Отчетность (отчет о деятельности образовательного учреждения за год, 
включающий в себя сведения об основных р
езультатах деятельности 
образовательного учреждения);
5.Информация для поступающих в образовательное учреждение (правила приема в 
образовательное учреждение; информация о зачислении в образовательное 
учреждение).
6.Другая информация о деятельности образова
тельного учреждения (участие 
образовательного учреждения в проектах; дополнительные занятия; </t>
  </si>
  <si>
    <t>По мере изменения данных</t>
  </si>
  <si>
    <t>Часть 3. Прочие сведения о муниципальном задании &lt;8&gt;</t>
  </si>
  <si>
    <t>Задание может быть досрочно прекращено (полностью или частично) в случаях:
- реорганизации или ликвидации муниципального бюджетного дошкольного образовательного учреждения ;
- изменения типа учреждения;
- исключение муниципальной услуги из перечня муниципальных услуг;
-  иных  случаях,  когда учреждение  не  обеспечивает  выполнение задания  или  имеются  основания  предполагать,  что  задание  не будет выполнено  в 
полном объеме или в соответствии с иными установленными требованиями.</t>
  </si>
  <si>
    <t xml:space="preserve">Согласно  п.  15  приказа  Минфина  России  от  21.07.2011  No  86-н  «Об  утверждении  порядка  предоставления  информации  государственным 
(муниципальным) учреждением ее размещения на официальном сайте в сети интернет и ведения указанного сайта» муниципальное задание и отчет о 
выполнении   муниципального   задания   размещаются   на  официальном   сайте   в   информационно-телекоммуникационной   сети   «Интернет» 
</t>
  </si>
  <si>
    <t>3. Порядок контроля за выполнением муниципального задани:я</t>
  </si>
  <si>
    <t>Выездная проверка</t>
  </si>
  <si>
    <t>В соответствии с приказом Управления образования города Пензы</t>
  </si>
  <si>
    <t>4.2.1. Сроки представления предварительного отчета о выполнении муниципального задания           до 01 ноября текущего года</t>
  </si>
  <si>
    <t>5. Иные показатели, связанные с выполнением муниципального задания &lt;9&gt;</t>
  </si>
  <si>
    <t>&lt;1&gt; Заполняется в случае досрочного прекращения выполнения муниципального задания.</t>
  </si>
  <si>
    <t>&lt;2&gt; Формируется при установлении муниципального о задания на оказание муниципальной услуги (услуг) и выполнение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</si>
  <si>
    <t>&lt;3&gt; Заполняется в соответствии с показателями, характеризующими качество услуг (работ), установленными в общероссийском базовом перечне или региональном перечне, а при их отсутствии или в дополнение к ним - показателями, характеризующими качество, установленными при необходимости органом, осуществляющим функции и полномочия учредителя муниципальных бюджетных или автономных учреждений, главным распорядителем средств бюджета города Пензы, в ведении которого находятся муниципальные казенные учреждения, и единицы их измерения.</t>
  </si>
  <si>
    <t>&lt;4&gt; Заполняется в соответствии с общероссийскими базовыми перечнями или региональными перечнями.</t>
  </si>
  <si>
    <t>&lt;5&gt; Заполняется в соответствии с кодом, указанным в общероссийском базовом перечне или региональном перечне (при наличии).</t>
  </si>
  <si>
    <t>&lt;6&gt; Заполняется в случае, если для разных услуг и работ устанавливаются различные показатели допустимых (возможных) отклонений или если указанные отклонения устанавливаются в абсолютных величинах. В случае, если единицей объема работы является работа в целом, показатель не указывается.</t>
  </si>
  <si>
    <t>&lt;7&gt; Заполняется в случае, если оказание услуг (выполнение работ) осуществляется на платной основе в соответствии с законодательством Российской Федерации в рамках муниципального задания. При оказании услуг (выполнении работ) на платной основе сверх установленного муниципального задания указанный показатель не формируется.</t>
  </si>
  <si>
    <t>&lt;8&gt; Заполняется в целом по муниципальному заданию.</t>
  </si>
  <si>
    <t>&lt;9&gt; В числе иных показателей может быть указано допустимое (возможное) отклонение от выполнения муниципального задания (части муниципального задания), в пределах которого оно (его часть) считается выполненным (выполненной), при принятии органом, осуществляющим функции и полномочия учредителя муниципальных бюджетных или автономных учреждений, главным распорядителем средств бюджета города Пензы, в ведении которого находятся муниципальные казенные учреждения,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процентах, в абсолютных величинах). В этом случае допустимые (возможные) отклонения, предусмотренные подпунктами 3.1 и 3.2 настоящего муниципального задания, не заполняются. В случае установления требования о представлении ежемесячных или ежеквартальных отчетов о выполнении муниципального задания в числе иных показателей устанавливаются показатели выполнения муниципального задания в процентах от годового объема оказания муниципальных услуг (выполнения работ) или в абсолютных величинах как для муниципального задания в целом, так и относительно его части (в том числе с учетом неравномерного оказания муниципальных услуг (выполнения работ) в течение календарного года).</t>
  </si>
  <si>
    <t>Измайлова Н.В.</t>
  </si>
  <si>
    <t>Родионова Н.А.</t>
  </si>
  <si>
    <t>Расходы на повышение оплаты труда работникам (12101S1053)</t>
  </si>
  <si>
    <t>Расходы на повышение оплаты труда работникам (1210171053)</t>
  </si>
  <si>
    <t>Перезарядка огнетушителей</t>
  </si>
  <si>
    <t>Испытание лесниц</t>
  </si>
  <si>
    <t>МУНИЦИПАЛЬНОЕ ЗАДАНИЕ № 2D295/5</t>
  </si>
  <si>
    <r>
      <t>"</t>
    </r>
    <r>
      <rPr>
        <u/>
        <sz val="11"/>
        <color indexed="8"/>
        <rFont val="Times New Roman"/>
        <family val="1"/>
        <charset val="204"/>
      </rPr>
      <t xml:space="preserve"> __28_  </t>
    </r>
    <r>
      <rPr>
        <sz val="11"/>
        <color indexed="8"/>
        <rFont val="Times New Roman"/>
        <family val="1"/>
        <charset val="204"/>
      </rPr>
      <t xml:space="preserve">" </t>
    </r>
    <r>
      <rPr>
        <u/>
        <sz val="11"/>
        <color indexed="8"/>
        <rFont val="Times New Roman"/>
        <family val="1"/>
        <charset val="204"/>
      </rPr>
      <t xml:space="preserve">  ____сентября___   </t>
    </r>
    <r>
      <rPr>
        <sz val="11"/>
        <color indexed="8"/>
        <rFont val="Times New Roman"/>
        <family val="1"/>
        <charset val="204"/>
      </rPr>
      <t>20</t>
    </r>
    <r>
      <rPr>
        <u/>
        <sz val="11"/>
        <color indexed="8"/>
        <rFont val="Times New Roman"/>
        <family val="1"/>
        <charset val="204"/>
      </rPr>
      <t xml:space="preserve">18     </t>
    </r>
    <r>
      <rPr>
        <sz val="11"/>
        <color indexed="8"/>
        <rFont val="Times New Roman"/>
        <family val="1"/>
        <charset val="204"/>
      </rPr>
      <t>г.</t>
    </r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</si>
</sst>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0.000"/>
    <numFmt numFmtId="165" formatCode="#,##0.000"/>
    <numFmt numFmtId="166" formatCode="#,##0.00000"/>
    <numFmt numFmtId="167" formatCode="#,##0.000_ ;\-#,##0.000\ "/>
  </numFmts>
  <fonts count="50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 Cyr"/>
      <charset val="204"/>
    </font>
    <font>
      <u/>
      <sz val="14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u/>
      <sz val="10"/>
      <name val="Arial Cyr"/>
      <charset val="204"/>
    </font>
    <font>
      <u/>
      <sz val="14"/>
      <color indexed="8"/>
      <name val="Times New Roman"/>
      <family val="1"/>
      <charset val="204"/>
    </font>
    <font>
      <sz val="9"/>
      <name val="Arial Cyr"/>
      <charset val="204"/>
    </font>
    <font>
      <b/>
      <sz val="14"/>
      <name val="Times New Roman"/>
      <family val="1"/>
      <charset val="204"/>
    </font>
    <font>
      <u/>
      <sz val="12"/>
      <name val="Verdana"/>
      <family val="2"/>
      <charset val="204"/>
    </font>
    <font>
      <b/>
      <sz val="10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Arial Cyr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u/>
      <sz val="10"/>
      <name val="Times New Roman"/>
      <family val="1"/>
      <charset val="204"/>
    </font>
    <font>
      <u/>
      <sz val="12"/>
      <color theme="0"/>
      <name val="Verdana"/>
      <family val="2"/>
      <charset val="204"/>
    </font>
    <font>
      <sz val="10"/>
      <color theme="0"/>
      <name val="Arial Cyr"/>
      <charset val="204"/>
    </font>
    <font>
      <sz val="9"/>
      <color theme="0"/>
      <name val="Arial Cyr"/>
      <charset val="204"/>
    </font>
    <font>
      <sz val="10"/>
      <color theme="0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24"/>
      <name val="Arial Cyr"/>
      <charset val="204"/>
    </font>
    <font>
      <vertAlign val="superscript"/>
      <sz val="10"/>
      <color indexed="8"/>
      <name val="Times New Roman"/>
      <family val="1"/>
      <charset val="204"/>
    </font>
    <font>
      <vertAlign val="superscript"/>
      <sz val="8"/>
      <color indexed="8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sz val="7.5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0" fillId="0" borderId="0"/>
    <xf numFmtId="0" fontId="28" fillId="0" borderId="0"/>
    <xf numFmtId="43" fontId="28" fillId="0" borderId="0" applyFont="0" applyFill="0" applyBorder="0" applyAlignment="0" applyProtection="0"/>
  </cellStyleXfs>
  <cellXfs count="549">
    <xf numFmtId="0" fontId="0" fillId="0" borderId="0" xfId="0"/>
    <xf numFmtId="0" fontId="29" fillId="0" borderId="0" xfId="0" applyFont="1"/>
    <xf numFmtId="0" fontId="29" fillId="0" borderId="0" xfId="0" applyFont="1" applyBorder="1"/>
    <xf numFmtId="0" fontId="30" fillId="0" borderId="0" xfId="0" applyFont="1"/>
    <xf numFmtId="0" fontId="29" fillId="0" borderId="0" xfId="0" applyFont="1" applyBorder="1" applyAlignment="1"/>
    <xf numFmtId="0" fontId="29" fillId="0" borderId="1" xfId="0" applyFont="1" applyBorder="1"/>
    <xf numFmtId="0" fontId="5" fillId="0" borderId="1" xfId="0" applyFont="1" applyBorder="1"/>
    <xf numFmtId="0" fontId="5" fillId="0" borderId="1" xfId="0" applyFont="1" applyBorder="1" applyAlignment="1"/>
    <xf numFmtId="0" fontId="29" fillId="0" borderId="2" xfId="0" applyFont="1" applyBorder="1"/>
    <xf numFmtId="0" fontId="32" fillId="0" borderId="0" xfId="0" applyFont="1"/>
    <xf numFmtId="0" fontId="5" fillId="0" borderId="0" xfId="0" applyFont="1"/>
    <xf numFmtId="0" fontId="3" fillId="0" borderId="0" xfId="0" applyFont="1" applyAlignment="1">
      <alignment horizontal="right"/>
    </xf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/>
    <xf numFmtId="0" fontId="5" fillId="0" borderId="2" xfId="0" applyFont="1" applyBorder="1"/>
    <xf numFmtId="0" fontId="29" fillId="0" borderId="0" xfId="0" applyFont="1" applyAlignment="1">
      <alignment horizontal="left"/>
    </xf>
    <xf numFmtId="0" fontId="29" fillId="0" borderId="0" xfId="0" applyFont="1" applyBorder="1" applyAlignment="1">
      <alignment horizontal="center"/>
    </xf>
    <xf numFmtId="0" fontId="33" fillId="0" borderId="0" xfId="0" applyFont="1"/>
    <xf numFmtId="0" fontId="33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34" fillId="0" borderId="1" xfId="0" applyFont="1" applyBorder="1" applyAlignment="1">
      <alignment wrapText="1"/>
    </xf>
    <xf numFmtId="0" fontId="10" fillId="0" borderId="0" xfId="1"/>
    <xf numFmtId="0" fontId="10" fillId="0" borderId="1" xfId="1" applyBorder="1"/>
    <xf numFmtId="0" fontId="12" fillId="0" borderId="1" xfId="1" applyFont="1" applyBorder="1"/>
    <xf numFmtId="4" fontId="12" fillId="0" borderId="1" xfId="1" applyNumberFormat="1" applyFont="1" applyBorder="1"/>
    <xf numFmtId="4" fontId="12" fillId="0" borderId="0" xfId="1" applyNumberFormat="1" applyFont="1"/>
    <xf numFmtId="0" fontId="12" fillId="0" borderId="0" xfId="1" applyFont="1"/>
    <xf numFmtId="4" fontId="10" fillId="0" borderId="1" xfId="1" applyNumberFormat="1" applyBorder="1"/>
    <xf numFmtId="4" fontId="10" fillId="0" borderId="1" xfId="1" applyNumberFormat="1" applyBorder="1" applyProtection="1">
      <protection locked="0"/>
    </xf>
    <xf numFmtId="4" fontId="1" fillId="0" borderId="1" xfId="2" applyNumberFormat="1" applyFont="1" applyBorder="1" applyAlignment="1">
      <alignment vertical="top" wrapText="1"/>
    </xf>
    <xf numFmtId="4" fontId="10" fillId="0" borderId="0" xfId="1" applyNumberFormat="1"/>
    <xf numFmtId="0" fontId="10" fillId="0" borderId="0" xfId="1" applyAlignment="1"/>
    <xf numFmtId="0" fontId="10" fillId="0" borderId="0" xfId="1" applyNumberFormat="1" applyAlignment="1">
      <alignment wrapText="1"/>
    </xf>
    <xf numFmtId="4" fontId="10" fillId="0" borderId="0" xfId="1" applyNumberFormat="1" applyFont="1"/>
    <xf numFmtId="0" fontId="13" fillId="0" borderId="0" xfId="1" applyFont="1" applyAlignment="1">
      <alignment horizontal="center" wrapText="1"/>
    </xf>
    <xf numFmtId="0" fontId="10" fillId="0" borderId="0" xfId="1" applyAlignment="1">
      <alignment wrapText="1"/>
    </xf>
    <xf numFmtId="4" fontId="12" fillId="0" borderId="1" xfId="1" applyNumberFormat="1" applyFont="1" applyBorder="1" applyProtection="1">
      <protection locked="0"/>
    </xf>
    <xf numFmtId="0" fontId="10" fillId="8" borderId="1" xfId="1" applyFill="1" applyBorder="1"/>
    <xf numFmtId="4" fontId="1" fillId="8" borderId="1" xfId="2" applyNumberFormat="1" applyFont="1" applyFill="1" applyBorder="1" applyAlignment="1">
      <alignment vertical="top" wrapText="1"/>
    </xf>
    <xf numFmtId="4" fontId="10" fillId="8" borderId="1" xfId="1" applyNumberFormat="1" applyFill="1" applyBorder="1" applyProtection="1">
      <protection locked="0"/>
    </xf>
    <xf numFmtId="4" fontId="34" fillId="0" borderId="1" xfId="0" applyNumberFormat="1" applyFont="1" applyBorder="1" applyAlignment="1">
      <alignment wrapText="1"/>
    </xf>
    <xf numFmtId="0" fontId="14" fillId="0" borderId="0" xfId="1" applyFont="1"/>
    <xf numFmtId="0" fontId="15" fillId="0" borderId="0" xfId="1" applyFont="1" applyBorder="1" applyAlignment="1">
      <alignment horizontal="center" wrapText="1"/>
    </xf>
    <xf numFmtId="0" fontId="14" fillId="0" borderId="0" xfId="1" applyFont="1" applyAlignment="1">
      <alignment wrapText="1"/>
    </xf>
    <xf numFmtId="0" fontId="3" fillId="0" borderId="0" xfId="1" applyFont="1"/>
    <xf numFmtId="0" fontId="16" fillId="0" borderId="0" xfId="1" applyFont="1" applyBorder="1" applyAlignment="1">
      <alignment horizontal="center" wrapText="1"/>
    </xf>
    <xf numFmtId="0" fontId="3" fillId="0" borderId="0" xfId="1" applyFont="1" applyAlignment="1">
      <alignment wrapText="1"/>
    </xf>
    <xf numFmtId="0" fontId="17" fillId="0" borderId="0" xfId="1" applyFont="1" applyBorder="1" applyAlignment="1">
      <alignment horizontal="center" wrapText="1"/>
    </xf>
    <xf numFmtId="0" fontId="3" fillId="0" borderId="5" xfId="1" applyFont="1" applyBorder="1" applyAlignment="1">
      <alignment wrapText="1"/>
    </xf>
    <xf numFmtId="0" fontId="3" fillId="0" borderId="6" xfId="1" applyFont="1" applyBorder="1" applyAlignment="1">
      <alignment wrapText="1"/>
    </xf>
    <xf numFmtId="0" fontId="3" fillId="0" borderId="7" xfId="1" applyFont="1" applyBorder="1" applyAlignment="1">
      <alignment wrapText="1"/>
    </xf>
    <xf numFmtId="0" fontId="3" fillId="0" borderId="0" xfId="1" applyFont="1" applyFill="1"/>
    <xf numFmtId="0" fontId="3" fillId="0" borderId="8" xfId="1" applyFont="1" applyBorder="1" applyAlignment="1">
      <alignment wrapText="1"/>
    </xf>
    <xf numFmtId="0" fontId="3" fillId="0" borderId="1" xfId="1" applyFont="1" applyBorder="1" applyAlignment="1">
      <alignment wrapText="1"/>
    </xf>
    <xf numFmtId="4" fontId="3" fillId="0" borderId="1" xfId="1" applyNumberFormat="1" applyFont="1" applyBorder="1" applyAlignment="1">
      <alignment wrapText="1"/>
    </xf>
    <xf numFmtId="4" fontId="3" fillId="0" borderId="9" xfId="1" applyNumberFormat="1" applyFont="1" applyBorder="1" applyAlignment="1">
      <alignment wrapText="1"/>
    </xf>
    <xf numFmtId="0" fontId="3" fillId="0" borderId="1" xfId="1" applyFont="1" applyBorder="1"/>
    <xf numFmtId="0" fontId="3" fillId="0" borderId="10" xfId="1" applyFont="1" applyBorder="1" applyAlignment="1">
      <alignment wrapText="1"/>
    </xf>
    <xf numFmtId="2" fontId="3" fillId="0" borderId="11" xfId="1" applyNumberFormat="1" applyFont="1" applyBorder="1" applyAlignment="1">
      <alignment wrapText="1"/>
    </xf>
    <xf numFmtId="0" fontId="3" fillId="0" borderId="12" xfId="1" applyFont="1" applyBorder="1" applyAlignment="1">
      <alignment wrapText="1"/>
    </xf>
    <xf numFmtId="0" fontId="3" fillId="0" borderId="11" xfId="1" applyFont="1" applyBorder="1" applyAlignment="1">
      <alignment wrapText="1"/>
    </xf>
    <xf numFmtId="4" fontId="3" fillId="0" borderId="13" xfId="1" applyNumberFormat="1" applyFont="1" applyBorder="1" applyAlignment="1">
      <alignment wrapText="1"/>
    </xf>
    <xf numFmtId="0" fontId="3" fillId="2" borderId="1" xfId="1" applyFont="1" applyFill="1" applyBorder="1"/>
    <xf numFmtId="4" fontId="3" fillId="0" borderId="0" xfId="1" applyNumberFormat="1" applyFont="1" applyAlignment="1">
      <alignment wrapText="1"/>
    </xf>
    <xf numFmtId="0" fontId="3" fillId="0" borderId="5" xfId="1" applyFont="1" applyBorder="1"/>
    <xf numFmtId="0" fontId="6" fillId="0" borderId="6" xfId="1" applyFont="1" applyBorder="1" applyAlignment="1">
      <alignment wrapText="1"/>
    </xf>
    <xf numFmtId="0" fontId="6" fillId="0" borderId="7" xfId="1" applyFont="1" applyBorder="1" applyAlignment="1">
      <alignment wrapText="1"/>
    </xf>
    <xf numFmtId="0" fontId="6" fillId="0" borderId="8" xfId="1" applyFont="1" applyBorder="1" applyAlignment="1">
      <alignment wrapText="1"/>
    </xf>
    <xf numFmtId="0" fontId="3" fillId="0" borderId="16" xfId="1" applyFont="1" applyBorder="1" applyAlignment="1">
      <alignment wrapText="1"/>
    </xf>
    <xf numFmtId="0" fontId="10" fillId="0" borderId="0" xfId="1" applyFont="1"/>
    <xf numFmtId="0" fontId="18" fillId="0" borderId="0" xfId="1" applyFont="1" applyFill="1"/>
    <xf numFmtId="0" fontId="10" fillId="0" borderId="0" xfId="1" applyFont="1" applyFill="1"/>
    <xf numFmtId="0" fontId="10" fillId="0" borderId="1" xfId="1" applyFont="1" applyFill="1" applyBorder="1"/>
    <xf numFmtId="2" fontId="3" fillId="2" borderId="1" xfId="1" applyNumberFormat="1" applyFont="1" applyFill="1" applyBorder="1"/>
    <xf numFmtId="0" fontId="10" fillId="0" borderId="0" xfId="1" applyFont="1" applyAlignment="1"/>
    <xf numFmtId="0" fontId="10" fillId="0" borderId="0" xfId="1" applyAlignment="1">
      <alignment horizontal="center"/>
    </xf>
    <xf numFmtId="0" fontId="10" fillId="0" borderId="0" xfId="1" applyFont="1" applyAlignment="1">
      <alignment horizontal="center"/>
    </xf>
    <xf numFmtId="0" fontId="3" fillId="0" borderId="9" xfId="1" applyFont="1" applyBorder="1" applyAlignment="1">
      <alignment wrapText="1"/>
    </xf>
    <xf numFmtId="4" fontId="10" fillId="0" borderId="0" xfId="1" applyNumberFormat="1" applyAlignment="1">
      <alignment wrapText="1"/>
    </xf>
    <xf numFmtId="0" fontId="3" fillId="0" borderId="17" xfId="1" applyFont="1" applyBorder="1" applyAlignment="1">
      <alignment wrapText="1"/>
    </xf>
    <xf numFmtId="0" fontId="3" fillId="0" borderId="13" xfId="1" applyFont="1" applyBorder="1" applyAlignment="1">
      <alignment wrapText="1"/>
    </xf>
    <xf numFmtId="0" fontId="3" fillId="0" borderId="0" xfId="1" applyFont="1" applyBorder="1" applyAlignment="1">
      <alignment wrapText="1"/>
    </xf>
    <xf numFmtId="4" fontId="3" fillId="0" borderId="0" xfId="1" applyNumberFormat="1" applyFont="1" applyBorder="1" applyAlignment="1">
      <alignment wrapText="1"/>
    </xf>
    <xf numFmtId="0" fontId="10" fillId="0" borderId="0" xfId="1" applyBorder="1" applyAlignment="1">
      <alignment horizontal="center"/>
    </xf>
    <xf numFmtId="0" fontId="10" fillId="0" borderId="0" xfId="1" applyBorder="1"/>
    <xf numFmtId="0" fontId="3" fillId="0" borderId="8" xfId="1" applyFont="1" applyBorder="1" applyAlignment="1">
      <alignment vertical="center" wrapText="1"/>
    </xf>
    <xf numFmtId="0" fontId="10" fillId="0" borderId="19" xfId="1" applyBorder="1"/>
    <xf numFmtId="0" fontId="10" fillId="0" borderId="16" xfId="1" applyBorder="1" applyAlignment="1">
      <alignment wrapText="1"/>
    </xf>
    <xf numFmtId="0" fontId="10" fillId="0" borderId="11" xfId="1" applyBorder="1"/>
    <xf numFmtId="0" fontId="10" fillId="0" borderId="13" xfId="1" applyBorder="1"/>
    <xf numFmtId="0" fontId="10" fillId="0" borderId="0" xfId="1" applyBorder="1" applyAlignment="1">
      <alignment wrapText="1"/>
    </xf>
    <xf numFmtId="0" fontId="10" fillId="0" borderId="0" xfId="1" applyFill="1" applyBorder="1"/>
    <xf numFmtId="0" fontId="10" fillId="0" borderId="5" xfId="1" applyBorder="1" applyAlignment="1">
      <alignment wrapText="1"/>
    </xf>
    <xf numFmtId="0" fontId="10" fillId="0" borderId="6" xfId="1" applyBorder="1" applyAlignment="1">
      <alignment wrapText="1"/>
    </xf>
    <xf numFmtId="0" fontId="10" fillId="0" borderId="7" xfId="1" applyBorder="1" applyAlignment="1">
      <alignment wrapText="1"/>
    </xf>
    <xf numFmtId="0" fontId="10" fillId="0" borderId="9" xfId="1" applyBorder="1"/>
    <xf numFmtId="0" fontId="20" fillId="0" borderId="0" xfId="1" applyFont="1"/>
    <xf numFmtId="0" fontId="2" fillId="0" borderId="0" xfId="1" applyFont="1"/>
    <xf numFmtId="0" fontId="19" fillId="0" borderId="0" xfId="1" applyFont="1"/>
    <xf numFmtId="0" fontId="9" fillId="0" borderId="1" xfId="1" applyFont="1" applyBorder="1" applyAlignment="1">
      <alignment wrapText="1"/>
    </xf>
    <xf numFmtId="0" fontId="10" fillId="0" borderId="1" xfId="1" applyBorder="1" applyAlignment="1">
      <alignment wrapText="1"/>
    </xf>
    <xf numFmtId="0" fontId="7" fillId="0" borderId="1" xfId="1" applyFont="1" applyBorder="1" applyAlignment="1">
      <alignment horizontal="left" wrapText="1"/>
    </xf>
    <xf numFmtId="0" fontId="1" fillId="0" borderId="1" xfId="1" applyFont="1" applyBorder="1"/>
    <xf numFmtId="0" fontId="8" fillId="0" borderId="1" xfId="1" applyFont="1" applyBorder="1"/>
    <xf numFmtId="0" fontId="8" fillId="0" borderId="0" xfId="1" applyFont="1" applyBorder="1"/>
    <xf numFmtId="0" fontId="14" fillId="0" borderId="0" xfId="1" applyFont="1" applyAlignment="1">
      <alignment horizontal="center"/>
    </xf>
    <xf numFmtId="2" fontId="10" fillId="0" borderId="0" xfId="1" applyNumberFormat="1"/>
    <xf numFmtId="0" fontId="3" fillId="3" borderId="8" xfId="1" applyFont="1" applyFill="1" applyBorder="1" applyAlignment="1">
      <alignment vertical="top" wrapText="1"/>
    </xf>
    <xf numFmtId="0" fontId="21" fillId="0" borderId="0" xfId="1" applyFont="1" applyAlignment="1">
      <alignment wrapText="1"/>
    </xf>
    <xf numFmtId="0" fontId="21" fillId="0" borderId="5" xfId="1" applyFont="1" applyBorder="1" applyAlignment="1">
      <alignment wrapText="1"/>
    </xf>
    <xf numFmtId="0" fontId="3" fillId="0" borderId="16" xfId="1" applyFont="1" applyBorder="1"/>
    <xf numFmtId="0" fontId="14" fillId="0" borderId="1" xfId="1" applyFont="1" applyBorder="1" applyAlignment="1">
      <alignment horizontal="center" wrapText="1"/>
    </xf>
    <xf numFmtId="0" fontId="10" fillId="2" borderId="0" xfId="1" applyFont="1" applyFill="1"/>
    <xf numFmtId="0" fontId="10" fillId="4" borderId="0" xfId="1" applyFont="1" applyFill="1"/>
    <xf numFmtId="0" fontId="10" fillId="3" borderId="0" xfId="1" applyFont="1" applyFill="1"/>
    <xf numFmtId="0" fontId="10" fillId="5" borderId="0" xfId="1" applyFont="1" applyFill="1"/>
    <xf numFmtId="0" fontId="10" fillId="6" borderId="0" xfId="1" applyFont="1" applyFill="1"/>
    <xf numFmtId="0" fontId="10" fillId="0" borderId="0" xfId="1" applyFont="1" applyProtection="1">
      <protection locked="0"/>
    </xf>
    <xf numFmtId="0" fontId="21" fillId="0" borderId="6" xfId="1" applyFont="1" applyBorder="1" applyAlignment="1">
      <alignment horizontal="center" wrapText="1"/>
    </xf>
    <xf numFmtId="0" fontId="10" fillId="0" borderId="1" xfId="1" applyFont="1" applyBorder="1" applyAlignment="1">
      <alignment horizontal="right"/>
    </xf>
    <xf numFmtId="0" fontId="10" fillId="0" borderId="5" xfId="1" applyFont="1" applyBorder="1" applyAlignment="1">
      <alignment wrapText="1"/>
    </xf>
    <xf numFmtId="0" fontId="3" fillId="0" borderId="6" xfId="1" applyFont="1" applyBorder="1"/>
    <xf numFmtId="0" fontId="10" fillId="0" borderId="0" xfId="1" applyFont="1" applyAlignment="1">
      <alignment wrapText="1"/>
    </xf>
    <xf numFmtId="0" fontId="1" fillId="0" borderId="20" xfId="2" applyFont="1" applyBorder="1" applyAlignment="1">
      <alignment wrapText="1"/>
    </xf>
    <xf numFmtId="10" fontId="10" fillId="0" borderId="1" xfId="1" applyNumberFormat="1" applyBorder="1"/>
    <xf numFmtId="4" fontId="10" fillId="0" borderId="9" xfId="1" applyNumberFormat="1" applyBorder="1"/>
    <xf numFmtId="0" fontId="1" fillId="0" borderId="8" xfId="2" applyFont="1" applyBorder="1" applyAlignment="1">
      <alignment wrapText="1"/>
    </xf>
    <xf numFmtId="0" fontId="1" fillId="0" borderId="8" xfId="2" applyFont="1" applyBorder="1"/>
    <xf numFmtId="0" fontId="1" fillId="0" borderId="16" xfId="2" applyFont="1" applyBorder="1"/>
    <xf numFmtId="0" fontId="17" fillId="0" borderId="0" xfId="1" applyFont="1" applyBorder="1" applyAlignment="1">
      <alignment wrapText="1"/>
    </xf>
    <xf numFmtId="0" fontId="15" fillId="0" borderId="0" xfId="1" applyFont="1" applyBorder="1" applyAlignment="1">
      <alignment wrapText="1"/>
    </xf>
    <xf numFmtId="0" fontId="10" fillId="0" borderId="0" xfId="1" applyFont="1" applyBorder="1"/>
    <xf numFmtId="0" fontId="10" fillId="0" borderId="21" xfId="1" applyFont="1" applyBorder="1"/>
    <xf numFmtId="0" fontId="10" fillId="0" borderId="21" xfId="1" applyFont="1" applyBorder="1" applyAlignment="1"/>
    <xf numFmtId="4" fontId="10" fillId="0" borderId="1" xfId="1" applyNumberFormat="1" applyFill="1" applyBorder="1"/>
    <xf numFmtId="4" fontId="10" fillId="0" borderId="11" xfId="1" applyNumberFormat="1" applyFill="1" applyBorder="1"/>
    <xf numFmtId="4" fontId="10" fillId="0" borderId="13" xfId="1" applyNumberFormat="1" applyBorder="1"/>
    <xf numFmtId="0" fontId="3" fillId="0" borderId="1" xfId="1" applyNumberFormat="1" applyFont="1" applyBorder="1"/>
    <xf numFmtId="0" fontId="6" fillId="0" borderId="1" xfId="1" applyFont="1" applyBorder="1" applyAlignment="1">
      <alignment wrapText="1"/>
    </xf>
    <xf numFmtId="0" fontId="6" fillId="0" borderId="1" xfId="1" applyFont="1" applyFill="1" applyBorder="1" applyAlignment="1">
      <alignment wrapText="1"/>
    </xf>
    <xf numFmtId="0" fontId="5" fillId="0" borderId="1" xfId="1" applyFont="1" applyBorder="1" applyAlignment="1">
      <alignment horizontal="center" wrapText="1"/>
    </xf>
    <xf numFmtId="0" fontId="10" fillId="0" borderId="0" xfId="1" applyNumberFormat="1" applyFont="1" applyFill="1"/>
    <xf numFmtId="0" fontId="3" fillId="0" borderId="1" xfId="1" applyNumberFormat="1" applyFont="1" applyBorder="1" applyAlignment="1">
      <alignment horizontal="center" vertical="top" wrapText="1"/>
    </xf>
    <xf numFmtId="0" fontId="6" fillId="0" borderId="0" xfId="1" applyNumberFormat="1" applyFont="1" applyFill="1" applyBorder="1" applyAlignment="1">
      <alignment wrapText="1"/>
    </xf>
    <xf numFmtId="0" fontId="3" fillId="0" borderId="0" xfId="1" applyNumberFormat="1" applyFont="1" applyFill="1" applyBorder="1" applyAlignment="1">
      <alignment horizontal="center" vertical="top" wrapText="1"/>
    </xf>
    <xf numFmtId="0" fontId="6" fillId="0" borderId="0" xfId="1" applyNumberFormat="1" applyFont="1" applyFill="1" applyBorder="1" applyAlignment="1">
      <alignment vertical="top" wrapText="1"/>
    </xf>
    <xf numFmtId="0" fontId="3" fillId="0" borderId="1" xfId="1" applyNumberFormat="1" applyFont="1" applyBorder="1" applyAlignment="1">
      <alignment vertical="top" wrapText="1"/>
    </xf>
    <xf numFmtId="0" fontId="10" fillId="0" borderId="0" xfId="1" applyNumberFormat="1" applyFont="1"/>
    <xf numFmtId="0" fontId="10" fillId="0" borderId="0" xfId="1" applyNumberFormat="1" applyFont="1" applyAlignment="1">
      <alignment horizontal="center"/>
    </xf>
    <xf numFmtId="0" fontId="10" fillId="0" borderId="0" xfId="1" applyNumberFormat="1" applyAlignment="1"/>
    <xf numFmtId="0" fontId="10" fillId="0" borderId="21" xfId="1" applyNumberFormat="1" applyFont="1" applyBorder="1"/>
    <xf numFmtId="0" fontId="10" fillId="0" borderId="21" xfId="1" applyNumberFormat="1" applyFont="1" applyBorder="1" applyAlignment="1"/>
    <xf numFmtId="0" fontId="10" fillId="0" borderId="0" xfId="1" applyNumberFormat="1"/>
    <xf numFmtId="0" fontId="27" fillId="0" borderId="0" xfId="1" applyFont="1" applyBorder="1" applyAlignment="1">
      <alignment horizontal="center" wrapText="1"/>
    </xf>
    <xf numFmtId="0" fontId="6" fillId="0" borderId="1" xfId="1" applyFont="1" applyBorder="1" applyAlignment="1">
      <alignment vertical="top" wrapText="1"/>
    </xf>
    <xf numFmtId="0" fontId="6" fillId="0" borderId="1" xfId="1" applyNumberFormat="1" applyFont="1" applyBorder="1" applyAlignment="1">
      <alignment vertical="top" wrapText="1"/>
    </xf>
    <xf numFmtId="0" fontId="6" fillId="0" borderId="1" xfId="1" applyNumberFormat="1" applyFont="1" applyBorder="1" applyAlignment="1">
      <alignment wrapText="1"/>
    </xf>
    <xf numFmtId="0" fontId="6" fillId="0" borderId="1" xfId="1" applyNumberFormat="1" applyFont="1" applyFill="1" applyBorder="1" applyAlignment="1">
      <alignment wrapText="1"/>
    </xf>
    <xf numFmtId="0" fontId="6" fillId="2" borderId="1" xfId="1" applyNumberFormat="1" applyFont="1" applyFill="1" applyBorder="1" applyAlignment="1">
      <alignment wrapText="1"/>
    </xf>
    <xf numFmtId="0" fontId="3" fillId="2" borderId="1" xfId="1" applyNumberFormat="1" applyFont="1" applyFill="1" applyBorder="1" applyAlignment="1">
      <alignment horizontal="center" vertical="top" wrapText="1"/>
    </xf>
    <xf numFmtId="0" fontId="6" fillId="2" borderId="1" xfId="1" applyNumberFormat="1" applyFont="1" applyFill="1" applyBorder="1" applyAlignment="1">
      <alignment vertical="top" wrapText="1"/>
    </xf>
    <xf numFmtId="0" fontId="3" fillId="0" borderId="1" xfId="1" applyNumberFormat="1" applyFont="1" applyBorder="1" applyAlignment="1">
      <alignment wrapText="1"/>
    </xf>
    <xf numFmtId="0" fontId="3" fillId="2" borderId="1" xfId="1" applyNumberFormat="1" applyFont="1" applyFill="1" applyBorder="1" applyAlignment="1">
      <alignment vertical="top" wrapText="1"/>
    </xf>
    <xf numFmtId="0" fontId="3" fillId="0" borderId="1" xfId="1" applyNumberFormat="1" applyFont="1" applyBorder="1" applyAlignment="1">
      <alignment horizontal="left" vertical="top" wrapText="1"/>
    </xf>
    <xf numFmtId="0" fontId="3" fillId="4" borderId="1" xfId="1" applyNumberFormat="1" applyFont="1" applyFill="1" applyBorder="1" applyAlignment="1">
      <alignment vertical="top" wrapText="1"/>
    </xf>
    <xf numFmtId="0" fontId="3" fillId="3" borderId="1" xfId="1" applyNumberFormat="1" applyFont="1" applyFill="1" applyBorder="1" applyAlignment="1">
      <alignment vertical="top" wrapText="1"/>
    </xf>
    <xf numFmtId="0" fontId="3" fillId="6" borderId="1" xfId="1" applyNumberFormat="1" applyFont="1" applyFill="1" applyBorder="1" applyAlignment="1">
      <alignment vertical="top" wrapText="1"/>
    </xf>
    <xf numFmtId="0" fontId="3" fillId="6" borderId="1" xfId="1" applyNumberFormat="1" applyFont="1" applyFill="1" applyBorder="1" applyAlignment="1">
      <alignment horizontal="center" vertical="top" wrapText="1"/>
    </xf>
    <xf numFmtId="0" fontId="3" fillId="7" borderId="1" xfId="1" applyNumberFormat="1" applyFont="1" applyFill="1" applyBorder="1" applyAlignment="1">
      <alignment vertical="top" wrapText="1"/>
    </xf>
    <xf numFmtId="0" fontId="3" fillId="7" borderId="1" xfId="1" applyNumberFormat="1" applyFont="1" applyFill="1" applyBorder="1" applyAlignment="1">
      <alignment horizontal="center" vertical="top" wrapText="1"/>
    </xf>
    <xf numFmtId="0" fontId="10" fillId="0" borderId="1" xfId="1" applyNumberFormat="1" applyFont="1" applyBorder="1"/>
    <xf numFmtId="0" fontId="22" fillId="0" borderId="1" xfId="1" applyNumberFormat="1" applyFont="1" applyFill="1" applyBorder="1" applyAlignment="1">
      <alignment vertical="top" wrapText="1"/>
    </xf>
    <xf numFmtId="0" fontId="10" fillId="0" borderId="1" xfId="1" applyFont="1" applyBorder="1"/>
    <xf numFmtId="0" fontId="6" fillId="7" borderId="1" xfId="1" applyNumberFormat="1" applyFont="1" applyFill="1" applyBorder="1" applyAlignment="1">
      <alignment wrapText="1"/>
    </xf>
    <xf numFmtId="4" fontId="3" fillId="0" borderId="1" xfId="1" applyNumberFormat="1" applyFont="1" applyBorder="1" applyAlignment="1">
      <alignment horizontal="center" vertical="top" wrapText="1"/>
    </xf>
    <xf numFmtId="4" fontId="3" fillId="0" borderId="1" xfId="1" applyNumberFormat="1" applyFont="1" applyFill="1" applyBorder="1" applyAlignment="1">
      <alignment horizontal="center" vertical="top"/>
    </xf>
    <xf numFmtId="4" fontId="3" fillId="7" borderId="1" xfId="1" applyNumberFormat="1" applyFont="1" applyFill="1" applyBorder="1" applyAlignment="1">
      <alignment horizontal="center" vertical="top" wrapText="1"/>
    </xf>
    <xf numFmtId="4" fontId="3" fillId="2" borderId="1" xfId="1" applyNumberFormat="1" applyFont="1" applyFill="1" applyBorder="1" applyAlignment="1">
      <alignment horizontal="center" vertical="top" wrapText="1"/>
    </xf>
    <xf numFmtId="4" fontId="3" fillId="0" borderId="1" xfId="1" applyNumberFormat="1" applyFont="1" applyBorder="1" applyAlignment="1">
      <alignment horizontal="center" vertical="top"/>
    </xf>
    <xf numFmtId="4" fontId="3" fillId="2" borderId="1" xfId="1" applyNumberFormat="1" applyFont="1" applyFill="1" applyBorder="1" applyAlignment="1">
      <alignment horizontal="center" vertical="top"/>
    </xf>
    <xf numFmtId="4" fontId="3" fillId="4" borderId="1" xfId="1" applyNumberFormat="1" applyFont="1" applyFill="1" applyBorder="1" applyAlignment="1">
      <alignment horizontal="center" vertical="top" wrapText="1"/>
    </xf>
    <xf numFmtId="4" fontId="3" fillId="3" borderId="1" xfId="1" applyNumberFormat="1" applyFont="1" applyFill="1" applyBorder="1" applyAlignment="1">
      <alignment horizontal="center" vertical="top" wrapText="1"/>
    </xf>
    <xf numFmtId="4" fontId="3" fillId="6" borderId="1" xfId="1" applyNumberFormat="1" applyFont="1" applyFill="1" applyBorder="1" applyAlignment="1">
      <alignment horizontal="center" vertical="top" wrapText="1"/>
    </xf>
    <xf numFmtId="4" fontId="22" fillId="0" borderId="1" xfId="1" applyNumberFormat="1" applyFont="1" applyBorder="1" applyAlignment="1">
      <alignment horizontal="center" vertical="top"/>
    </xf>
    <xf numFmtId="0" fontId="6" fillId="0" borderId="0" xfId="0" applyFont="1" applyBorder="1" applyAlignment="1">
      <alignment vertical="center" wrapText="1"/>
    </xf>
    <xf numFmtId="0" fontId="10" fillId="0" borderId="0" xfId="1" applyNumberFormat="1" applyFont="1" applyBorder="1"/>
    <xf numFmtId="0" fontId="35" fillId="0" borderId="1" xfId="1" applyFont="1" applyBorder="1"/>
    <xf numFmtId="0" fontId="10" fillId="9" borderId="23" xfId="1" applyFill="1" applyBorder="1" applyAlignment="1">
      <alignment wrapText="1"/>
    </xf>
    <xf numFmtId="0" fontId="10" fillId="9" borderId="24" xfId="1" applyFill="1" applyBorder="1" applyAlignment="1">
      <alignment wrapText="1"/>
    </xf>
    <xf numFmtId="0" fontId="3" fillId="9" borderId="24" xfId="1" applyFont="1" applyFill="1" applyBorder="1" applyAlignment="1">
      <alignment wrapText="1"/>
    </xf>
    <xf numFmtId="0" fontId="10" fillId="9" borderId="25" xfId="1" applyFill="1" applyBorder="1" applyAlignment="1">
      <alignment wrapText="1"/>
    </xf>
    <xf numFmtId="0" fontId="10" fillId="9" borderId="0" xfId="1" applyFill="1" applyAlignment="1">
      <alignment wrapText="1"/>
    </xf>
    <xf numFmtId="0" fontId="3" fillId="9" borderId="8" xfId="1" applyFont="1" applyFill="1" applyBorder="1" applyAlignment="1">
      <alignment wrapText="1"/>
    </xf>
    <xf numFmtId="0" fontId="10" fillId="9" borderId="1" xfId="1" applyFill="1" applyBorder="1"/>
    <xf numFmtId="0" fontId="10" fillId="9" borderId="0" xfId="1" applyFill="1"/>
    <xf numFmtId="0" fontId="3" fillId="9" borderId="18" xfId="1" applyFont="1" applyFill="1" applyBorder="1" applyAlignment="1">
      <alignment wrapText="1"/>
    </xf>
    <xf numFmtId="0" fontId="10" fillId="9" borderId="1" xfId="1" applyFill="1" applyBorder="1" applyAlignment="1">
      <alignment horizontal="right" wrapText="1"/>
    </xf>
    <xf numFmtId="0" fontId="10" fillId="9" borderId="1" xfId="1" applyFill="1" applyBorder="1" applyAlignment="1">
      <alignment horizontal="right"/>
    </xf>
    <xf numFmtId="0" fontId="24" fillId="9" borderId="5" xfId="1" applyFont="1" applyFill="1" applyBorder="1" applyAlignment="1">
      <alignment vertical="center" wrapText="1"/>
    </xf>
    <xf numFmtId="0" fontId="10" fillId="9" borderId="6" xfId="1" applyFill="1" applyBorder="1"/>
    <xf numFmtId="0" fontId="3" fillId="9" borderId="8" xfId="1" applyFont="1" applyFill="1" applyBorder="1" applyAlignment="1">
      <alignment vertical="center" wrapText="1"/>
    </xf>
    <xf numFmtId="0" fontId="10" fillId="9" borderId="5" xfId="1" applyFill="1" applyBorder="1" applyAlignment="1">
      <alignment wrapText="1"/>
    </xf>
    <xf numFmtId="0" fontId="10" fillId="9" borderId="6" xfId="1" applyFill="1" applyBorder="1" applyAlignment="1">
      <alignment wrapText="1"/>
    </xf>
    <xf numFmtId="0" fontId="3" fillId="9" borderId="6" xfId="1" applyFont="1" applyFill="1" applyBorder="1" applyAlignment="1">
      <alignment wrapText="1"/>
    </xf>
    <xf numFmtId="0" fontId="10" fillId="9" borderId="7" xfId="1" applyFill="1" applyBorder="1" applyAlignment="1">
      <alignment wrapText="1"/>
    </xf>
    <xf numFmtId="0" fontId="3" fillId="9" borderId="16" xfId="1" applyFont="1" applyFill="1" applyBorder="1" applyAlignment="1">
      <alignment wrapText="1"/>
    </xf>
    <xf numFmtId="0" fontId="10" fillId="9" borderId="11" xfId="1" applyFill="1" applyBorder="1"/>
    <xf numFmtId="0" fontId="10" fillId="9" borderId="13" xfId="1" applyFill="1" applyBorder="1"/>
    <xf numFmtId="4" fontId="10" fillId="0" borderId="1" xfId="1" applyNumberFormat="1" applyFont="1" applyBorder="1" applyAlignment="1">
      <alignment horizontal="center" wrapText="1"/>
    </xf>
    <xf numFmtId="0" fontId="10" fillId="9" borderId="1" xfId="1" applyFont="1" applyFill="1" applyBorder="1"/>
    <xf numFmtId="0" fontId="3" fillId="9" borderId="1" xfId="1" applyNumberFormat="1" applyFont="1" applyFill="1" applyBorder="1" applyAlignment="1">
      <alignment horizontal="center" vertical="top" wrapText="1"/>
    </xf>
    <xf numFmtId="4" fontId="3" fillId="9" borderId="1" xfId="1" applyNumberFormat="1" applyFont="1" applyFill="1" applyBorder="1" applyAlignment="1">
      <alignment horizontal="center" vertical="top" wrapText="1"/>
    </xf>
    <xf numFmtId="4" fontId="10" fillId="10" borderId="0" xfId="1" applyNumberFormat="1" applyFill="1"/>
    <xf numFmtId="0" fontId="30" fillId="0" borderId="8" xfId="1" applyFont="1" applyBorder="1" applyAlignment="1">
      <alignment wrapText="1"/>
    </xf>
    <xf numFmtId="0" fontId="36" fillId="0" borderId="1" xfId="1" applyFont="1" applyBorder="1"/>
    <xf numFmtId="0" fontId="10" fillId="0" borderId="0" xfId="1" applyAlignment="1">
      <alignment horizontal="center"/>
    </xf>
    <xf numFmtId="43" fontId="10" fillId="0" borderId="0" xfId="3" applyFont="1"/>
    <xf numFmtId="43" fontId="10" fillId="0" borderId="0" xfId="3" applyFont="1" applyBorder="1" applyAlignment="1">
      <alignment horizontal="center"/>
    </xf>
    <xf numFmtId="43" fontId="10" fillId="9" borderId="24" xfId="3" applyFont="1" applyFill="1" applyBorder="1" applyAlignment="1">
      <alignment wrapText="1"/>
    </xf>
    <xf numFmtId="43" fontId="10" fillId="9" borderId="1" xfId="3" applyFont="1" applyFill="1" applyBorder="1"/>
    <xf numFmtId="43" fontId="10" fillId="9" borderId="1" xfId="3" applyFont="1" applyFill="1" applyBorder="1" applyAlignment="1">
      <alignment horizontal="right" wrapText="1"/>
    </xf>
    <xf numFmtId="43" fontId="36" fillId="9" borderId="1" xfId="3" applyFont="1" applyFill="1" applyBorder="1" applyAlignment="1">
      <alignment horizontal="right" wrapText="1"/>
    </xf>
    <xf numFmtId="43" fontId="10" fillId="9" borderId="6" xfId="3" applyFont="1" applyFill="1" applyBorder="1"/>
    <xf numFmtId="43" fontId="10" fillId="0" borderId="1" xfId="3" applyFont="1" applyBorder="1"/>
    <xf numFmtId="43" fontId="10" fillId="0" borderId="11" xfId="3" applyFont="1" applyBorder="1"/>
    <xf numFmtId="43" fontId="10" fillId="0" borderId="0" xfId="3" applyFont="1" applyBorder="1"/>
    <xf numFmtId="43" fontId="10" fillId="9" borderId="0" xfId="3" applyFont="1" applyFill="1"/>
    <xf numFmtId="43" fontId="10" fillId="9" borderId="6" xfId="3" applyFont="1" applyFill="1" applyBorder="1" applyAlignment="1">
      <alignment wrapText="1"/>
    </xf>
    <xf numFmtId="43" fontId="10" fillId="9" borderId="11" xfId="3" applyFont="1" applyFill="1" applyBorder="1"/>
    <xf numFmtId="43" fontId="2" fillId="0" borderId="0" xfId="3" applyFont="1"/>
    <xf numFmtId="43" fontId="10" fillId="0" borderId="1" xfId="3" applyFont="1" applyBorder="1" applyAlignment="1">
      <alignment wrapText="1"/>
    </xf>
    <xf numFmtId="43" fontId="1" fillId="0" borderId="1" xfId="3" applyFont="1" applyBorder="1"/>
    <xf numFmtId="43" fontId="8" fillId="0" borderId="1" xfId="3" applyFont="1" applyBorder="1"/>
    <xf numFmtId="43" fontId="8" fillId="0" borderId="0" xfId="3" applyFont="1" applyBorder="1"/>
    <xf numFmtId="43" fontId="36" fillId="0" borderId="1" xfId="3" applyFont="1" applyBorder="1"/>
    <xf numFmtId="43" fontId="10" fillId="0" borderId="19" xfId="3" applyFont="1" applyBorder="1"/>
    <xf numFmtId="43" fontId="10" fillId="0" borderId="21" xfId="3" applyFont="1" applyBorder="1"/>
    <xf numFmtId="0" fontId="10" fillId="9" borderId="0" xfId="1" applyFont="1" applyFill="1"/>
    <xf numFmtId="4" fontId="10" fillId="3" borderId="9" xfId="1" applyNumberFormat="1" applyFill="1" applyBorder="1" applyAlignment="1">
      <alignment horizontal="center"/>
    </xf>
    <xf numFmtId="4" fontId="36" fillId="3" borderId="9" xfId="1" applyNumberFormat="1" applyFont="1" applyFill="1" applyBorder="1" applyAlignment="1">
      <alignment horizontal="center"/>
    </xf>
    <xf numFmtId="4" fontId="10" fillId="0" borderId="9" xfId="1" applyNumberFormat="1" applyBorder="1" applyAlignment="1">
      <alignment horizontal="center"/>
    </xf>
    <xf numFmtId="4" fontId="10" fillId="0" borderId="13" xfId="1" applyNumberFormat="1" applyBorder="1" applyAlignment="1">
      <alignment horizontal="center"/>
    </xf>
    <xf numFmtId="4" fontId="3" fillId="0" borderId="1" xfId="1" applyNumberFormat="1" applyFont="1" applyFill="1" applyBorder="1" applyAlignment="1">
      <alignment wrapText="1"/>
    </xf>
    <xf numFmtId="4" fontId="3" fillId="0" borderId="9" xfId="1" applyNumberFormat="1" applyFont="1" applyFill="1" applyBorder="1" applyAlignment="1">
      <alignment wrapText="1"/>
    </xf>
    <xf numFmtId="4" fontId="3" fillId="0" borderId="11" xfId="1" applyNumberFormat="1" applyFont="1" applyFill="1" applyBorder="1" applyAlignment="1">
      <alignment wrapText="1"/>
    </xf>
    <xf numFmtId="4" fontId="3" fillId="0" borderId="13" xfId="1" applyNumberFormat="1" applyFont="1" applyFill="1" applyBorder="1" applyAlignment="1">
      <alignment wrapText="1"/>
    </xf>
    <xf numFmtId="4" fontId="3" fillId="0" borderId="14" xfId="1" applyNumberFormat="1" applyFont="1" applyFill="1" applyBorder="1" applyAlignment="1">
      <alignment wrapText="1"/>
    </xf>
    <xf numFmtId="4" fontId="3" fillId="0" borderId="15" xfId="1" applyNumberFormat="1" applyFont="1" applyFill="1" applyBorder="1" applyAlignment="1">
      <alignment wrapText="1"/>
    </xf>
    <xf numFmtId="4" fontId="10" fillId="0" borderId="0" xfId="1" applyNumberFormat="1" applyFont="1" applyFill="1"/>
    <xf numFmtId="0" fontId="3" fillId="0" borderId="1" xfId="1" applyFont="1" applyBorder="1" applyAlignment="1">
      <alignment horizontal="center" wrapText="1"/>
    </xf>
    <xf numFmtId="4" fontId="10" fillId="3" borderId="1" xfId="1" applyNumberFormat="1" applyFont="1" applyFill="1" applyBorder="1" applyAlignment="1">
      <alignment horizontal="center"/>
    </xf>
    <xf numFmtId="0" fontId="21" fillId="0" borderId="6" xfId="1" applyFont="1" applyBorder="1" applyAlignment="1">
      <alignment wrapText="1"/>
    </xf>
    <xf numFmtId="4" fontId="10" fillId="0" borderId="9" xfId="1" applyNumberFormat="1" applyFill="1" applyBorder="1" applyAlignment="1">
      <alignment horizontal="right"/>
    </xf>
    <xf numFmtId="2" fontId="1" fillId="0" borderId="1" xfId="1" applyNumberFormat="1" applyFont="1" applyBorder="1"/>
    <xf numFmtId="0" fontId="10" fillId="11" borderId="1" xfId="1" applyFill="1" applyBorder="1"/>
    <xf numFmtId="14" fontId="3" fillId="0" borderId="1" xfId="1" applyNumberFormat="1" applyFont="1" applyBorder="1" applyAlignment="1">
      <alignment wrapText="1"/>
    </xf>
    <xf numFmtId="14" fontId="3" fillId="0" borderId="1" xfId="1" applyNumberFormat="1" applyFont="1" applyBorder="1"/>
    <xf numFmtId="0" fontId="10" fillId="0" borderId="28" xfId="1" applyFont="1" applyFill="1" applyBorder="1"/>
    <xf numFmtId="0" fontId="10" fillId="0" borderId="4" xfId="1" applyFont="1" applyFill="1" applyBorder="1"/>
    <xf numFmtId="4" fontId="3" fillId="0" borderId="36" xfId="1" applyNumberFormat="1" applyFont="1" applyBorder="1" applyAlignment="1">
      <alignment wrapText="1"/>
    </xf>
    <xf numFmtId="4" fontId="3" fillId="0" borderId="37" xfId="1" applyNumberFormat="1" applyFont="1" applyBorder="1" applyAlignment="1">
      <alignment wrapText="1"/>
    </xf>
    <xf numFmtId="0" fontId="3" fillId="0" borderId="8" xfId="1" applyFont="1" applyFill="1" applyBorder="1"/>
    <xf numFmtId="4" fontId="10" fillId="0" borderId="1" xfId="1" applyNumberFormat="1" applyFont="1" applyFill="1" applyBorder="1" applyAlignment="1">
      <alignment horizontal="center"/>
    </xf>
    <xf numFmtId="4" fontId="34" fillId="0" borderId="3" xfId="0" applyNumberFormat="1" applyFont="1" applyBorder="1" applyAlignment="1">
      <alignment wrapText="1"/>
    </xf>
    <xf numFmtId="14" fontId="6" fillId="0" borderId="1" xfId="0" applyNumberFormat="1" applyFont="1" applyFill="1" applyBorder="1" applyAlignment="1">
      <alignment horizontal="center" vertical="center"/>
    </xf>
    <xf numFmtId="4" fontId="10" fillId="0" borderId="9" xfId="1" applyNumberFormat="1" applyFill="1" applyBorder="1"/>
    <xf numFmtId="0" fontId="29" fillId="0" borderId="0" xfId="0" applyFont="1" applyFill="1"/>
    <xf numFmtId="164" fontId="10" fillId="0" borderId="1" xfId="1" applyNumberFormat="1" applyFont="1" applyBorder="1" applyAlignment="1">
      <alignment horizontal="center" wrapText="1"/>
    </xf>
    <xf numFmtId="0" fontId="13" fillId="0" borderId="0" xfId="1" applyFont="1" applyAlignment="1">
      <alignment horizontal="center" wrapText="1"/>
    </xf>
    <xf numFmtId="43" fontId="10" fillId="9" borderId="1" xfId="3" applyFont="1" applyFill="1" applyBorder="1" applyProtection="1">
      <protection locked="0"/>
    </xf>
    <xf numFmtId="4" fontId="10" fillId="9" borderId="0" xfId="1" applyNumberFormat="1" applyFill="1"/>
    <xf numFmtId="4" fontId="10" fillId="9" borderId="1" xfId="1" applyNumberFormat="1" applyFill="1" applyBorder="1"/>
    <xf numFmtId="4" fontId="10" fillId="0" borderId="26" xfId="1" applyNumberFormat="1" applyFill="1" applyBorder="1"/>
    <xf numFmtId="43" fontId="10" fillId="9" borderId="0" xfId="1" applyNumberFormat="1" applyFont="1" applyFill="1" applyBorder="1" applyAlignment="1">
      <alignment vertical="center"/>
    </xf>
    <xf numFmtId="0" fontId="3" fillId="0" borderId="8" xfId="1" applyFont="1" applyFill="1" applyBorder="1" applyAlignment="1">
      <alignment wrapText="1"/>
    </xf>
    <xf numFmtId="0" fontId="3" fillId="0" borderId="1" xfId="1" applyFont="1" applyFill="1" applyBorder="1" applyAlignment="1">
      <alignment horizontal="center" wrapText="1"/>
    </xf>
    <xf numFmtId="4" fontId="10" fillId="0" borderId="1" xfId="1" applyNumberFormat="1" applyFont="1" applyFill="1" applyBorder="1" applyAlignment="1">
      <alignment horizontal="center" wrapText="1"/>
    </xf>
    <xf numFmtId="0" fontId="10" fillId="0" borderId="1" xfId="1" applyFont="1" applyFill="1" applyBorder="1" applyAlignment="1">
      <alignment horizontal="right"/>
    </xf>
    <xf numFmtId="0" fontId="10" fillId="0" borderId="0" xfId="1" applyFill="1"/>
    <xf numFmtId="0" fontId="3" fillId="0" borderId="1" xfId="1" applyFont="1" applyFill="1" applyBorder="1" applyAlignment="1">
      <alignment horizontal="center"/>
    </xf>
    <xf numFmtId="164" fontId="10" fillId="0" borderId="1" xfId="1" applyNumberFormat="1" applyFont="1" applyFill="1" applyBorder="1" applyAlignment="1">
      <alignment horizontal="center"/>
    </xf>
    <xf numFmtId="4" fontId="10" fillId="0" borderId="0" xfId="1" applyNumberFormat="1" applyFill="1" applyBorder="1"/>
    <xf numFmtId="43" fontId="10" fillId="0" borderId="0" xfId="3" applyFont="1" applyFill="1" applyBorder="1" applyAlignment="1">
      <alignment horizontal="center"/>
    </xf>
    <xf numFmtId="43" fontId="10" fillId="0" borderId="0" xfId="3" applyFont="1" applyFill="1" applyBorder="1"/>
    <xf numFmtId="2" fontId="10" fillId="0" borderId="0" xfId="1" applyNumberFormat="1" applyFill="1" applyBorder="1"/>
    <xf numFmtId="0" fontId="3" fillId="0" borderId="16" xfId="1" applyFont="1" applyFill="1" applyBorder="1" applyAlignment="1">
      <alignment wrapText="1"/>
    </xf>
    <xf numFmtId="0" fontId="3" fillId="0" borderId="11" xfId="1" applyFont="1" applyFill="1" applyBorder="1" applyAlignment="1">
      <alignment horizontal="center"/>
    </xf>
    <xf numFmtId="2" fontId="10" fillId="0" borderId="11" xfId="1" applyNumberFormat="1" applyFill="1" applyBorder="1" applyAlignment="1">
      <alignment horizontal="center"/>
    </xf>
    <xf numFmtId="0" fontId="10" fillId="0" borderId="11" xfId="1" applyFill="1" applyBorder="1" applyAlignment="1">
      <alignment horizontal="center"/>
    </xf>
    <xf numFmtId="0" fontId="10" fillId="0" borderId="11" xfId="1" applyFont="1" applyFill="1" applyBorder="1" applyAlignment="1">
      <alignment horizontal="right"/>
    </xf>
    <xf numFmtId="4" fontId="10" fillId="0" borderId="11" xfId="1" applyNumberFormat="1" applyFont="1" applyFill="1" applyBorder="1" applyAlignment="1">
      <alignment horizontal="center"/>
    </xf>
    <xf numFmtId="4" fontId="10" fillId="0" borderId="13" xfId="1" applyNumberFormat="1" applyFill="1" applyBorder="1" applyAlignment="1">
      <alignment horizontal="right"/>
    </xf>
    <xf numFmtId="43" fontId="10" fillId="9" borderId="9" xfId="3" applyFont="1" applyFill="1" applyBorder="1" applyAlignment="1">
      <alignment horizontal="left" vertical="center"/>
    </xf>
    <xf numFmtId="43" fontId="10" fillId="9" borderId="34" xfId="3" applyFont="1" applyFill="1" applyBorder="1" applyAlignment="1">
      <alignment horizontal="left" vertical="center"/>
    </xf>
    <xf numFmtId="43" fontId="12" fillId="9" borderId="9" xfId="3" applyFont="1" applyFill="1" applyBorder="1" applyAlignment="1">
      <alignment horizontal="left" vertical="center"/>
    </xf>
    <xf numFmtId="0" fontId="6" fillId="0" borderId="5" xfId="1" applyFont="1" applyBorder="1" applyAlignment="1">
      <alignment horizontal="center" vertical="top" wrapText="1"/>
    </xf>
    <xf numFmtId="0" fontId="3" fillId="8" borderId="8" xfId="1" applyFont="1" applyFill="1" applyBorder="1" applyAlignment="1">
      <alignment wrapText="1"/>
    </xf>
    <xf numFmtId="0" fontId="3" fillId="8" borderId="16" xfId="1" applyFont="1" applyFill="1" applyBorder="1" applyAlignment="1">
      <alignment wrapText="1"/>
    </xf>
    <xf numFmtId="0" fontId="39" fillId="0" borderId="0" xfId="1" applyFont="1" applyBorder="1" applyAlignment="1">
      <alignment horizontal="center" wrapText="1"/>
    </xf>
    <xf numFmtId="0" fontId="39" fillId="0" borderId="0" xfId="1" applyFont="1" applyFill="1" applyBorder="1" applyAlignment="1">
      <alignment horizontal="center" wrapText="1"/>
    </xf>
    <xf numFmtId="0" fontId="6" fillId="0" borderId="16" xfId="1" applyFont="1" applyBorder="1" applyAlignment="1">
      <alignment wrapText="1"/>
    </xf>
    <xf numFmtId="4" fontId="3" fillId="0" borderId="1" xfId="1" applyNumberFormat="1" applyFont="1" applyFill="1" applyBorder="1" applyAlignment="1">
      <alignment horizontal="center" vertical="top" wrapText="1"/>
    </xf>
    <xf numFmtId="4" fontId="3" fillId="0" borderId="1" xfId="1" applyNumberFormat="1" applyFont="1" applyBorder="1" applyAlignment="1">
      <alignment wrapText="1"/>
    </xf>
    <xf numFmtId="4" fontId="3" fillId="0" borderId="12" xfId="1" applyNumberFormat="1" applyFont="1" applyBorder="1" applyAlignment="1">
      <alignment wrapText="1"/>
    </xf>
    <xf numFmtId="4" fontId="3" fillId="0" borderId="42" xfId="1" applyNumberFormat="1" applyFont="1" applyBorder="1" applyAlignment="1">
      <alignment wrapText="1"/>
    </xf>
    <xf numFmtId="165" fontId="10" fillId="0" borderId="1" xfId="1" applyNumberFormat="1" applyFont="1" applyBorder="1" applyAlignment="1">
      <alignment horizontal="center" wrapText="1"/>
    </xf>
    <xf numFmtId="164" fontId="10" fillId="0" borderId="1" xfId="1" applyNumberFormat="1" applyFont="1" applyBorder="1" applyAlignment="1">
      <alignment horizontal="center"/>
    </xf>
    <xf numFmtId="0" fontId="33" fillId="0" borderId="1" xfId="0" applyFont="1" applyBorder="1"/>
    <xf numFmtId="14" fontId="6" fillId="0" borderId="1" xfId="0" applyNumberFormat="1" applyFont="1" applyBorder="1" applyAlignment="1">
      <alignment horizontal="center" vertical="center"/>
    </xf>
    <xf numFmtId="0" fontId="41" fillId="0" borderId="0" xfId="1" applyFont="1"/>
    <xf numFmtId="0" fontId="42" fillId="0" borderId="5" xfId="1" applyFont="1" applyBorder="1" applyAlignment="1">
      <alignment wrapText="1"/>
    </xf>
    <xf numFmtId="0" fontId="42" fillId="0" borderId="6" xfId="1" applyFont="1" applyBorder="1" applyAlignment="1">
      <alignment wrapText="1"/>
    </xf>
    <xf numFmtId="0" fontId="41" fillId="0" borderId="6" xfId="1" applyFont="1" applyBorder="1" applyAlignment="1">
      <alignment wrapText="1"/>
    </xf>
    <xf numFmtId="0" fontId="42" fillId="0" borderId="6" xfId="1" applyFont="1" applyBorder="1" applyAlignment="1">
      <alignment horizontal="center" wrapText="1"/>
    </xf>
    <xf numFmtId="0" fontId="41" fillId="0" borderId="7" xfId="1" applyFont="1" applyBorder="1" applyAlignment="1">
      <alignment wrapText="1"/>
    </xf>
    <xf numFmtId="0" fontId="43" fillId="0" borderId="8" xfId="1" applyFont="1" applyBorder="1"/>
    <xf numFmtId="0" fontId="43" fillId="0" borderId="1" xfId="1" applyFont="1" applyBorder="1" applyAlignment="1">
      <alignment horizontal="center"/>
    </xf>
    <xf numFmtId="4" fontId="41" fillId="0" borderId="1" xfId="1" applyNumberFormat="1" applyFont="1" applyBorder="1" applyAlignment="1">
      <alignment horizontal="center" wrapText="1"/>
    </xf>
    <xf numFmtId="0" fontId="41" fillId="0" borderId="1" xfId="1" applyFont="1" applyBorder="1"/>
    <xf numFmtId="4" fontId="41" fillId="0" borderId="9" xfId="1" applyNumberFormat="1" applyFont="1" applyBorder="1"/>
    <xf numFmtId="4" fontId="3" fillId="0" borderId="1" xfId="1" applyNumberFormat="1" applyFont="1" applyBorder="1" applyAlignment="1">
      <alignment wrapText="1"/>
    </xf>
    <xf numFmtId="4" fontId="3" fillId="0" borderId="11" xfId="1" applyNumberFormat="1" applyFont="1" applyBorder="1" applyAlignment="1">
      <alignment wrapText="1"/>
    </xf>
    <xf numFmtId="43" fontId="36" fillId="0" borderId="11" xfId="3" applyFont="1" applyBorder="1"/>
    <xf numFmtId="0" fontId="3" fillId="0" borderId="18" xfId="1" applyFont="1" applyBorder="1" applyAlignment="1">
      <alignment wrapText="1"/>
    </xf>
    <xf numFmtId="0" fontId="24" fillId="0" borderId="16" xfId="1" applyFont="1" applyBorder="1" applyAlignment="1">
      <alignment wrapText="1"/>
    </xf>
    <xf numFmtId="0" fontId="45" fillId="0" borderId="0" xfId="1" applyFont="1"/>
    <xf numFmtId="0" fontId="3" fillId="0" borderId="19" xfId="1" applyFont="1" applyBorder="1" applyAlignment="1">
      <alignment wrapText="1"/>
    </xf>
    <xf numFmtId="4" fontId="3" fillId="0" borderId="26" xfId="1" applyNumberFormat="1" applyFont="1" applyBorder="1" applyAlignment="1">
      <alignment wrapText="1"/>
    </xf>
    <xf numFmtId="43" fontId="10" fillId="9" borderId="45" xfId="3" applyFont="1" applyFill="1" applyBorder="1"/>
    <xf numFmtId="0" fontId="10" fillId="9" borderId="45" xfId="1" applyFill="1" applyBorder="1"/>
    <xf numFmtId="4" fontId="10" fillId="0" borderId="7" xfId="1" applyNumberFormat="1" applyFill="1" applyBorder="1"/>
    <xf numFmtId="4" fontId="10" fillId="0" borderId="13" xfId="1" applyNumberFormat="1" applyFill="1" applyBorder="1"/>
    <xf numFmtId="0" fontId="10" fillId="9" borderId="8" xfId="1" applyFill="1" applyBorder="1"/>
    <xf numFmtId="0" fontId="10" fillId="9" borderId="16" xfId="1" applyFill="1" applyBorder="1"/>
    <xf numFmtId="0" fontId="10" fillId="0" borderId="23" xfId="1" applyBorder="1" applyAlignment="1">
      <alignment wrapText="1"/>
    </xf>
    <xf numFmtId="43" fontId="10" fillId="0" borderId="24" xfId="3" applyFont="1" applyBorder="1" applyAlignment="1">
      <alignment wrapText="1"/>
    </xf>
    <xf numFmtId="0" fontId="10" fillId="0" borderId="24" xfId="1" applyBorder="1" applyAlignment="1">
      <alignment wrapText="1"/>
    </xf>
    <xf numFmtId="0" fontId="3" fillId="0" borderId="24" xfId="1" applyFont="1" applyBorder="1" applyAlignment="1">
      <alignment wrapText="1"/>
    </xf>
    <xf numFmtId="0" fontId="10" fillId="0" borderId="25" xfId="1" applyBorder="1" applyAlignment="1">
      <alignment wrapText="1"/>
    </xf>
    <xf numFmtId="0" fontId="24" fillId="0" borderId="5" xfId="1" applyFont="1" applyBorder="1" applyAlignment="1">
      <alignment wrapText="1"/>
    </xf>
    <xf numFmtId="43" fontId="10" fillId="0" borderId="6" xfId="3" applyFont="1" applyBorder="1"/>
    <xf numFmtId="0" fontId="10" fillId="0" borderId="6" xfId="1" applyBorder="1"/>
    <xf numFmtId="4" fontId="12" fillId="3" borderId="7" xfId="1" applyNumberFormat="1" applyFont="1" applyFill="1" applyBorder="1" applyAlignment="1">
      <alignment horizontal="center"/>
    </xf>
    <xf numFmtId="4" fontId="10" fillId="3" borderId="13" xfId="1" applyNumberFormat="1" applyFill="1" applyBorder="1" applyAlignment="1">
      <alignment horizontal="center"/>
    </xf>
    <xf numFmtId="166" fontId="10" fillId="0" borderId="1" xfId="1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wrapText="1"/>
    </xf>
    <xf numFmtId="0" fontId="29" fillId="0" borderId="0" xfId="0" applyFont="1" applyAlignment="1">
      <alignment horizontal="center"/>
    </xf>
    <xf numFmtId="0" fontId="3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9" borderId="0" xfId="0" applyFont="1" applyFill="1" applyBorder="1" applyAlignment="1">
      <alignment vertical="center" wrapText="1"/>
    </xf>
    <xf numFmtId="0" fontId="29" fillId="0" borderId="0" xfId="0" applyFont="1" applyBorder="1" applyAlignment="1">
      <alignment horizontal="left" wrapText="1"/>
    </xf>
    <xf numFmtId="0" fontId="29" fillId="9" borderId="0" xfId="0" applyFont="1" applyFill="1"/>
    <xf numFmtId="0" fontId="29" fillId="9" borderId="0" xfId="0" applyFont="1" applyFill="1" applyBorder="1" applyAlignment="1">
      <alignment horizontal="center" wrapText="1"/>
    </xf>
    <xf numFmtId="0" fontId="29" fillId="9" borderId="28" xfId="0" applyFont="1" applyFill="1" applyBorder="1" applyAlignment="1">
      <alignment wrapText="1"/>
    </xf>
    <xf numFmtId="0" fontId="31" fillId="0" borderId="0" xfId="0" applyFont="1"/>
    <xf numFmtId="0" fontId="10" fillId="0" borderId="0" xfId="1" applyAlignment="1">
      <alignment horizontal="center"/>
    </xf>
    <xf numFmtId="4" fontId="3" fillId="0" borderId="1" xfId="1" applyNumberFormat="1" applyFont="1" applyBorder="1" applyAlignment="1">
      <alignment wrapText="1"/>
    </xf>
    <xf numFmtId="43" fontId="10" fillId="9" borderId="3" xfId="3" applyFont="1" applyFill="1" applyBorder="1" applyAlignment="1">
      <alignment horizontal="left" vertical="center"/>
    </xf>
    <xf numFmtId="43" fontId="10" fillId="9" borderId="1" xfId="3" applyFont="1" applyFill="1" applyBorder="1" applyAlignment="1"/>
    <xf numFmtId="167" fontId="10" fillId="9" borderId="1" xfId="3" applyNumberFormat="1" applyFont="1" applyFill="1" applyBorder="1" applyAlignment="1"/>
    <xf numFmtId="0" fontId="10" fillId="0" borderId="0" xfId="1" applyAlignment="1">
      <alignment horizontal="center"/>
    </xf>
    <xf numFmtId="2" fontId="10" fillId="0" borderId="0" xfId="1" applyNumberFormat="1" applyFont="1" applyFill="1"/>
    <xf numFmtId="4" fontId="3" fillId="8" borderId="1" xfId="1" applyNumberFormat="1" applyFont="1" applyFill="1" applyBorder="1" applyAlignment="1">
      <alignment horizontal="center" vertical="top"/>
    </xf>
    <xf numFmtId="4" fontId="3" fillId="0" borderId="1" xfId="1" applyNumberFormat="1" applyFont="1" applyBorder="1" applyAlignment="1">
      <alignment wrapText="1"/>
    </xf>
    <xf numFmtId="4" fontId="3" fillId="0" borderId="1" xfId="1" applyNumberFormat="1" applyFont="1" applyBorder="1" applyAlignment="1">
      <alignment wrapText="1"/>
    </xf>
    <xf numFmtId="0" fontId="3" fillId="0" borderId="13" xfId="1" applyFont="1" applyBorder="1" applyAlignment="1">
      <alignment wrapText="1"/>
    </xf>
    <xf numFmtId="4" fontId="3" fillId="0" borderId="1" xfId="1" applyNumberFormat="1" applyFont="1" applyBorder="1" applyAlignment="1">
      <alignment wrapText="1"/>
    </xf>
    <xf numFmtId="0" fontId="3" fillId="0" borderId="26" xfId="1" applyFont="1" applyBorder="1" applyAlignment="1">
      <alignment wrapText="1"/>
    </xf>
    <xf numFmtId="0" fontId="31" fillId="0" borderId="0" xfId="0" applyFont="1" applyAlignment="1">
      <alignment horizontal="left" wrapText="1"/>
    </xf>
    <xf numFmtId="2" fontId="29" fillId="0" borderId="21" xfId="0" applyNumberFormat="1" applyFont="1" applyBorder="1" applyAlignment="1">
      <alignment horizontal="center" wrapText="1"/>
    </xf>
    <xf numFmtId="0" fontId="29" fillId="0" borderId="21" xfId="0" applyFont="1" applyBorder="1" applyAlignment="1">
      <alignment horizontal="center"/>
    </xf>
    <xf numFmtId="0" fontId="29" fillId="0" borderId="0" xfId="0" applyFont="1" applyFill="1" applyBorder="1" applyAlignment="1">
      <alignment horizontal="center" wrapText="1"/>
    </xf>
    <xf numFmtId="0" fontId="29" fillId="0" borderId="21" xfId="0" applyFont="1" applyFill="1" applyBorder="1" applyAlignment="1">
      <alignment horizontal="center" wrapText="1"/>
    </xf>
    <xf numFmtId="0" fontId="29" fillId="0" borderId="28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29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9" fillId="0" borderId="21" xfId="0" applyFont="1" applyBorder="1" applyAlignment="1">
      <alignment horizontal="left" vertical="top" wrapText="1"/>
    </xf>
    <xf numFmtId="0" fontId="29" fillId="0" borderId="21" xfId="0" applyFont="1" applyBorder="1" applyAlignment="1">
      <alignment horizontal="left" vertical="top"/>
    </xf>
    <xf numFmtId="0" fontId="5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29" fillId="0" borderId="3" xfId="0" applyFont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29" xfId="0" applyFont="1" applyBorder="1" applyAlignment="1">
      <alignment horizontal="center"/>
    </xf>
    <xf numFmtId="0" fontId="29" fillId="0" borderId="30" xfId="0" applyFont="1" applyBorder="1" applyAlignment="1">
      <alignment horizontal="center"/>
    </xf>
    <xf numFmtId="0" fontId="29" fillId="0" borderId="0" xfId="0" applyFont="1" applyBorder="1" applyAlignment="1">
      <alignment horizontal="left" wrapText="1"/>
    </xf>
    <xf numFmtId="0" fontId="33" fillId="0" borderId="1" xfId="0" applyFont="1" applyBorder="1" applyAlignment="1">
      <alignment horizontal="center" vertical="center"/>
    </xf>
    <xf numFmtId="0" fontId="33" fillId="0" borderId="3" xfId="0" quotePrefix="1" applyFont="1" applyBorder="1" applyAlignment="1">
      <alignment horizontal="center" wrapText="1"/>
    </xf>
    <xf numFmtId="0" fontId="33" fillId="0" borderId="4" xfId="0" applyFont="1" applyBorder="1" applyAlignment="1">
      <alignment horizontal="center" wrapText="1"/>
    </xf>
    <xf numFmtId="0" fontId="29" fillId="0" borderId="1" xfId="0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33" fillId="0" borderId="3" xfId="0" applyFont="1" applyBorder="1" applyAlignment="1">
      <alignment horizontal="left" wrapText="1"/>
    </xf>
    <xf numFmtId="0" fontId="33" fillId="0" borderId="4" xfId="0" applyFont="1" applyBorder="1" applyAlignment="1">
      <alignment horizontal="left" wrapText="1"/>
    </xf>
    <xf numFmtId="0" fontId="33" fillId="0" borderId="3" xfId="0" applyFont="1" applyBorder="1" applyAlignment="1">
      <alignment horizontal="center" wrapText="1"/>
    </xf>
    <xf numFmtId="0" fontId="33" fillId="0" borderId="3" xfId="0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/>
    </xf>
    <xf numFmtId="0" fontId="33" fillId="0" borderId="19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33" fillId="0" borderId="27" xfId="0" applyFont="1" applyBorder="1" applyAlignment="1">
      <alignment horizontal="center" vertical="center" wrapText="1"/>
    </xf>
    <xf numFmtId="0" fontId="33" fillId="0" borderId="29" xfId="0" applyFont="1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/>
    </xf>
    <xf numFmtId="0" fontId="3" fillId="0" borderId="28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49" fillId="0" borderId="3" xfId="0" applyFont="1" applyBorder="1" applyAlignment="1">
      <alignment horizontal="left" vertical="top" wrapText="1"/>
    </xf>
    <xf numFmtId="0" fontId="49" fillId="0" borderId="28" xfId="0" applyFont="1" applyBorder="1" applyAlignment="1">
      <alignment horizontal="left" vertical="top"/>
    </xf>
    <xf numFmtId="0" fontId="49" fillId="0" borderId="4" xfId="0" applyFont="1" applyBorder="1" applyAlignment="1">
      <alignment horizontal="left" vertical="top"/>
    </xf>
    <xf numFmtId="0" fontId="29" fillId="0" borderId="3" xfId="0" applyFont="1" applyBorder="1" applyAlignment="1">
      <alignment horizontal="center" vertical="top"/>
    </xf>
    <xf numFmtId="0" fontId="29" fillId="0" borderId="28" xfId="0" applyFont="1" applyBorder="1" applyAlignment="1">
      <alignment horizontal="center" vertical="top"/>
    </xf>
    <xf numFmtId="0" fontId="29" fillId="0" borderId="4" xfId="0" applyFont="1" applyBorder="1" applyAlignment="1">
      <alignment horizontal="center" vertical="top"/>
    </xf>
    <xf numFmtId="0" fontId="3" fillId="0" borderId="0" xfId="0" applyFont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44" fillId="0" borderId="3" xfId="0" quotePrefix="1" applyFont="1" applyBorder="1" applyAlignment="1">
      <alignment horizontal="center" wrapText="1"/>
    </xf>
    <xf numFmtId="0" fontId="44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33" fillId="0" borderId="1" xfId="0" applyFont="1" applyBorder="1" applyAlignment="1">
      <alignment horizontal="center" wrapText="1"/>
    </xf>
    <xf numFmtId="0" fontId="29" fillId="0" borderId="0" xfId="0" applyFont="1" applyFill="1" applyAlignment="1">
      <alignment horizontal="center"/>
    </xf>
    <xf numFmtId="14" fontId="29" fillId="0" borderId="1" xfId="0" applyNumberFormat="1" applyFont="1" applyBorder="1" applyAlignment="1">
      <alignment horizontal="center"/>
    </xf>
    <xf numFmtId="49" fontId="29" fillId="0" borderId="1" xfId="0" applyNumberFormat="1" applyFont="1" applyBorder="1" applyAlignment="1">
      <alignment horizontal="center"/>
    </xf>
    <xf numFmtId="0" fontId="30" fillId="0" borderId="0" xfId="0" applyFont="1" applyAlignment="1">
      <alignment horizontal="right"/>
    </xf>
    <xf numFmtId="0" fontId="30" fillId="0" borderId="32" xfId="0" applyFont="1" applyBorder="1" applyAlignment="1">
      <alignment horizontal="right"/>
    </xf>
    <xf numFmtId="0" fontId="29" fillId="0" borderId="1" xfId="0" applyFont="1" applyFill="1" applyBorder="1" applyAlignment="1">
      <alignment horizontal="center"/>
    </xf>
    <xf numFmtId="0" fontId="30" fillId="0" borderId="0" xfId="0" applyFont="1" applyFill="1" applyAlignment="1">
      <alignment horizontal="right" wrapText="1"/>
    </xf>
    <xf numFmtId="0" fontId="30" fillId="0" borderId="32" xfId="0" applyFont="1" applyFill="1" applyBorder="1" applyAlignment="1">
      <alignment horizontal="right" wrapText="1"/>
    </xf>
    <xf numFmtId="0" fontId="38" fillId="0" borderId="21" xfId="0" applyFont="1" applyBorder="1" applyAlignment="1">
      <alignment horizontal="left" wrapText="1"/>
    </xf>
    <xf numFmtId="0" fontId="31" fillId="0" borderId="2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10" fillId="0" borderId="0" xfId="1" applyAlignment="1">
      <alignment horizontal="center"/>
    </xf>
    <xf numFmtId="0" fontId="11" fillId="0" borderId="0" xfId="1" applyFont="1" applyAlignment="1">
      <alignment horizontal="center"/>
    </xf>
    <xf numFmtId="0" fontId="13" fillId="0" borderId="0" xfId="1" applyFont="1" applyAlignment="1">
      <alignment horizontal="center" wrapText="1"/>
    </xf>
    <xf numFmtId="0" fontId="12" fillId="0" borderId="3" xfId="1" applyFont="1" applyBorder="1" applyAlignment="1">
      <alignment horizontal="center"/>
    </xf>
    <xf numFmtId="0" fontId="12" fillId="0" borderId="4" xfId="1" applyFont="1" applyBorder="1" applyAlignment="1">
      <alignment horizontal="center"/>
    </xf>
    <xf numFmtId="0" fontId="12" fillId="0" borderId="21" xfId="1" applyFont="1" applyBorder="1" applyAlignment="1">
      <alignment horizontal="center"/>
    </xf>
    <xf numFmtId="0" fontId="3" fillId="0" borderId="40" xfId="1" applyFont="1" applyBorder="1" applyAlignment="1">
      <alignment horizontal="center" wrapText="1"/>
    </xf>
    <xf numFmtId="0" fontId="3" fillId="0" borderId="41" xfId="1" applyFont="1" applyBorder="1" applyAlignment="1">
      <alignment horizontal="center" wrapText="1"/>
    </xf>
    <xf numFmtId="4" fontId="3" fillId="0" borderId="11" xfId="1" applyNumberFormat="1" applyFont="1" applyBorder="1" applyAlignment="1">
      <alignment wrapText="1"/>
    </xf>
    <xf numFmtId="0" fontId="3" fillId="0" borderId="13" xfId="1" applyFont="1" applyBorder="1" applyAlignment="1">
      <alignment wrapText="1"/>
    </xf>
    <xf numFmtId="0" fontId="17" fillId="0" borderId="0" xfId="1" applyFont="1" applyAlignment="1">
      <alignment horizontal="center" wrapText="1"/>
    </xf>
    <xf numFmtId="0" fontId="3" fillId="0" borderId="38" xfId="1" applyFont="1" applyBorder="1" applyAlignment="1">
      <alignment horizontal="center" vertical="top" wrapText="1"/>
    </xf>
    <xf numFmtId="0" fontId="0" fillId="0" borderId="39" xfId="0" applyBorder="1"/>
    <xf numFmtId="0" fontId="6" fillId="0" borderId="6" xfId="1" applyFont="1" applyBorder="1" applyAlignment="1">
      <alignment horizontal="center" vertical="top" wrapText="1"/>
    </xf>
    <xf numFmtId="0" fontId="6" fillId="0" borderId="7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wrapText="1"/>
    </xf>
    <xf numFmtId="0" fontId="3" fillId="0" borderId="4" xfId="1" applyFont="1" applyBorder="1" applyAlignment="1">
      <alignment horizontal="center" wrapText="1"/>
    </xf>
    <xf numFmtId="4" fontId="3" fillId="0" borderId="1" xfId="1" applyNumberFormat="1" applyFont="1" applyBorder="1" applyAlignment="1">
      <alignment wrapText="1"/>
    </xf>
    <xf numFmtId="0" fontId="3" fillId="0" borderId="9" xfId="1" applyFont="1" applyBorder="1" applyAlignment="1">
      <alignment wrapText="1"/>
    </xf>
    <xf numFmtId="0" fontId="3" fillId="0" borderId="21" xfId="1" applyFont="1" applyBorder="1" applyAlignment="1">
      <alignment horizontal="center" wrapText="1"/>
    </xf>
    <xf numFmtId="0" fontId="17" fillId="0" borderId="0" xfId="1" applyFont="1" applyBorder="1" applyAlignment="1">
      <alignment horizontal="center" wrapText="1"/>
    </xf>
    <xf numFmtId="0" fontId="15" fillId="0" borderId="0" xfId="1" applyFont="1" applyBorder="1" applyAlignment="1">
      <alignment horizontal="center" wrapText="1"/>
    </xf>
    <xf numFmtId="0" fontId="10" fillId="0" borderId="3" xfId="1" applyFont="1" applyFill="1" applyBorder="1" applyAlignment="1">
      <alignment horizontal="center"/>
    </xf>
    <xf numFmtId="0" fontId="10" fillId="0" borderId="4" xfId="1" applyFont="1" applyFill="1" applyBorder="1" applyAlignment="1">
      <alignment horizontal="center"/>
    </xf>
    <xf numFmtId="0" fontId="10" fillId="0" borderId="0" xfId="1" applyAlignment="1">
      <alignment horizontal="center" wrapText="1"/>
    </xf>
    <xf numFmtId="0" fontId="10" fillId="0" borderId="21" xfId="1" applyFont="1" applyFill="1" applyBorder="1" applyAlignment="1">
      <alignment horizontal="center"/>
    </xf>
    <xf numFmtId="0" fontId="16" fillId="0" borderId="0" xfId="1" applyFont="1" applyBorder="1" applyAlignment="1">
      <alignment horizontal="center" wrapText="1"/>
    </xf>
    <xf numFmtId="0" fontId="17" fillId="0" borderId="33" xfId="1" applyFont="1" applyBorder="1" applyAlignment="1">
      <alignment horizontal="center" wrapText="1"/>
    </xf>
    <xf numFmtId="0" fontId="3" fillId="0" borderId="20" xfId="1" applyFont="1" applyBorder="1" applyAlignment="1">
      <alignment horizontal="left" wrapText="1"/>
    </xf>
    <xf numFmtId="0" fontId="3" fillId="0" borderId="28" xfId="1" applyFont="1" applyBorder="1" applyAlignment="1">
      <alignment horizontal="left" wrapText="1"/>
    </xf>
    <xf numFmtId="0" fontId="3" fillId="0" borderId="4" xfId="1" applyFont="1" applyBorder="1" applyAlignment="1">
      <alignment horizontal="left" wrapText="1"/>
    </xf>
    <xf numFmtId="0" fontId="3" fillId="0" borderId="43" xfId="1" applyFont="1" applyBorder="1" applyAlignment="1">
      <alignment horizontal="left" wrapText="1"/>
    </xf>
    <xf numFmtId="0" fontId="3" fillId="0" borderId="44" xfId="1" applyFont="1" applyBorder="1" applyAlignment="1">
      <alignment horizontal="left" wrapText="1"/>
    </xf>
    <xf numFmtId="0" fontId="3" fillId="0" borderId="41" xfId="1" applyFont="1" applyBorder="1" applyAlignment="1">
      <alignment horizontal="left" wrapText="1"/>
    </xf>
    <xf numFmtId="0" fontId="15" fillId="9" borderId="0" xfId="1" applyFont="1" applyFill="1" applyAlignment="1">
      <alignment horizontal="center" wrapText="1"/>
    </xf>
    <xf numFmtId="0" fontId="19" fillId="9" borderId="0" xfId="1" applyFont="1" applyFill="1" applyAlignment="1">
      <alignment horizontal="center" wrapText="1"/>
    </xf>
    <xf numFmtId="0" fontId="15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15" fillId="0" borderId="0" xfId="1" applyFont="1" applyBorder="1" applyAlignment="1">
      <alignment horizontal="center"/>
    </xf>
    <xf numFmtId="0" fontId="3" fillId="9" borderId="17" xfId="1" applyFont="1" applyFill="1" applyBorder="1" applyAlignment="1">
      <alignment horizontal="center" vertical="center" wrapText="1"/>
    </xf>
    <xf numFmtId="0" fontId="3" fillId="9" borderId="35" xfId="1" applyFont="1" applyFill="1" applyBorder="1" applyAlignment="1">
      <alignment horizontal="center" vertical="center" wrapText="1"/>
    </xf>
    <xf numFmtId="0" fontId="17" fillId="0" borderId="0" xfId="1" applyFont="1" applyBorder="1" applyAlignment="1">
      <alignment horizontal="center"/>
    </xf>
    <xf numFmtId="0" fontId="15" fillId="0" borderId="28" xfId="1" applyFont="1" applyBorder="1" applyAlignment="1">
      <alignment horizontal="center" wrapText="1"/>
    </xf>
    <xf numFmtId="0" fontId="17" fillId="0" borderId="28" xfId="1" applyFont="1" applyBorder="1" applyAlignment="1">
      <alignment horizontal="center" wrapText="1"/>
    </xf>
    <xf numFmtId="0" fontId="17" fillId="0" borderId="4" xfId="1" applyFont="1" applyBorder="1" applyAlignment="1">
      <alignment horizontal="center" wrapText="1"/>
    </xf>
    <xf numFmtId="0" fontId="23" fillId="0" borderId="0" xfId="1" applyFont="1" applyAlignment="1">
      <alignment horizontal="center" wrapText="1"/>
    </xf>
    <xf numFmtId="0" fontId="10" fillId="0" borderId="0" xfId="1" applyAlignment="1">
      <alignment horizontal="left"/>
    </xf>
    <xf numFmtId="0" fontId="40" fillId="0" borderId="0" xfId="1" applyFont="1" applyAlignment="1">
      <alignment horizontal="center" wrapText="1"/>
    </xf>
    <xf numFmtId="0" fontId="17" fillId="0" borderId="0" xfId="1" applyNumberFormat="1" applyFont="1" applyBorder="1" applyAlignment="1">
      <alignment horizontal="center" vertical="top" wrapText="1"/>
    </xf>
    <xf numFmtId="0" fontId="15" fillId="0" borderId="34" xfId="1" applyFont="1" applyBorder="1" applyAlignment="1">
      <alignment horizontal="center" vertical="top" wrapText="1"/>
    </xf>
    <xf numFmtId="0" fontId="15" fillId="0" borderId="0" xfId="1" applyFont="1" applyBorder="1" applyAlignment="1">
      <alignment horizontal="center" vertical="top" wrapText="1"/>
    </xf>
    <xf numFmtId="0" fontId="17" fillId="0" borderId="21" xfId="1" applyFont="1" applyBorder="1" applyAlignment="1" applyProtection="1">
      <alignment horizontal="center" vertical="center" wrapText="1"/>
      <protection locked="0"/>
    </xf>
    <xf numFmtId="0" fontId="17" fillId="0" borderId="0" xfId="1" applyNumberFormat="1" applyFont="1" applyBorder="1" applyAlignment="1">
      <alignment horizontal="center" wrapText="1"/>
    </xf>
    <xf numFmtId="0" fontId="25" fillId="0" borderId="0" xfId="1" applyFont="1" applyAlignment="1">
      <alignment horizontal="center"/>
    </xf>
    <xf numFmtId="0" fontId="17" fillId="0" borderId="0" xfId="1" applyNumberFormat="1" applyFont="1" applyBorder="1" applyAlignment="1">
      <alignment horizontal="center"/>
    </xf>
    <xf numFmtId="0" fontId="15" fillId="0" borderId="34" xfId="1" applyNumberFormat="1" applyFont="1" applyBorder="1" applyAlignment="1">
      <alignment horizontal="center" vertical="top" wrapText="1"/>
    </xf>
    <xf numFmtId="0" fontId="15" fillId="0" borderId="0" xfId="1" applyNumberFormat="1" applyFont="1" applyBorder="1" applyAlignment="1">
      <alignment horizontal="center" vertical="top" wrapText="1"/>
    </xf>
    <xf numFmtId="0" fontId="26" fillId="0" borderId="3" xfId="1" applyFont="1" applyBorder="1" applyAlignment="1">
      <alignment horizontal="left" vertical="center"/>
    </xf>
    <xf numFmtId="0" fontId="26" fillId="0" borderId="28" xfId="1" applyFont="1" applyBorder="1" applyAlignment="1">
      <alignment horizontal="left" vertical="center"/>
    </xf>
    <xf numFmtId="0" fontId="26" fillId="0" borderId="4" xfId="1" applyFont="1" applyBorder="1" applyAlignment="1">
      <alignment horizontal="left" vertical="center"/>
    </xf>
    <xf numFmtId="0" fontId="15" fillId="0" borderId="2" xfId="1" applyFont="1" applyBorder="1" applyAlignment="1">
      <alignment horizontal="center" wrapText="1"/>
    </xf>
    <xf numFmtId="0" fontId="26" fillId="0" borderId="21" xfId="1" applyFont="1" applyBorder="1" applyAlignment="1" applyProtection="1">
      <alignment horizontal="center" vertical="center" wrapText="1"/>
      <protection locked="0"/>
    </xf>
    <xf numFmtId="0" fontId="17" fillId="0" borderId="34" xfId="1" applyNumberFormat="1" applyFont="1" applyBorder="1" applyAlignment="1">
      <alignment horizontal="center" vertical="top" wrapText="1"/>
    </xf>
  </cellXfs>
  <cellStyles count="4">
    <cellStyle name="Обычный" xfId="0" builtinId="0"/>
    <cellStyle name="Обычный 2" xfId="1"/>
    <cellStyle name="Обычный 2 2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41;&#1065;&#1048;&#1045;%20&#1044;&#1054;&#1050;&#1059;&#1052;&#1045;&#1053;&#1058;&#1067;/&#1088;&#1072;&#1073;&#1086;&#1095;&#1080;&#1081;%202018/&#1084;&#1079;/Users/&#1055;&#1086;&#1083;&#1100;&#1079;&#1086;&#1074;&#1072;&#1090;&#1077;&#1083;&#1100;/Downloads/Documents%20and%20Settings/ermolaeva/&#1056;&#1072;&#1073;&#1086;&#1095;&#1080;&#1081;%20&#1089;&#1090;&#1086;&#1083;/2015%20&#1075;&#1086;&#1076;/&#1084;&#1091;&#1085;&#1080;&#1094;&#1080;&#1087;&#1072;&#1083;&#1100;&#1085;&#1086;&#1077;%20&#1079;&#1072;&#1076;&#1072;&#1085;&#1080;&#1077;/&#1089;&#1072;&#1076;%2089.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ун.задание"/>
      <sheetName val="вспомогательная таблица"/>
      <sheetName val="прил.1+2"/>
      <sheetName val="прил.3"/>
      <sheetName val="прил.4"/>
      <sheetName val="прил.5"/>
      <sheetName val="прил.6"/>
      <sheetName val="свод "/>
      <sheetName val="проверка"/>
      <sheetName val="касса"/>
      <sheetName val="отчет 1433-2"/>
      <sheetName val="отчет1433-1"/>
      <sheetName val="1433-9мес"/>
      <sheetName val="касса 2014"/>
      <sheetName val="1433"/>
    </sheetNames>
    <sheetDataSet>
      <sheetData sheetId="0"/>
      <sheetData sheetId="1" refreshError="1"/>
      <sheetData sheetId="2"/>
      <sheetData sheetId="3"/>
      <sheetData sheetId="4" refreshError="1"/>
      <sheetData sheetId="5">
        <row r="31">
          <cell r="B31" t="str">
            <v>вывоз жидких бытовых отходов и объемов жидких бытовых отходов</v>
          </cell>
        </row>
      </sheetData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3"/>
  <sheetViews>
    <sheetView topLeftCell="A111" zoomScale="90" zoomScaleNormal="90" zoomScaleSheetLayoutView="90" workbookViewId="0">
      <selection activeCell="K22" sqref="K22"/>
    </sheetView>
  </sheetViews>
  <sheetFormatPr defaultColWidth="9.140625" defaultRowHeight="15"/>
  <cols>
    <col min="1" max="1" width="17.42578125" style="1" customWidth="1"/>
    <col min="2" max="2" width="10.85546875" style="1" customWidth="1"/>
    <col min="3" max="3" width="11.28515625" style="1" customWidth="1"/>
    <col min="4" max="5" width="10.42578125" style="1" customWidth="1"/>
    <col min="6" max="6" width="10.5703125" style="1" customWidth="1"/>
    <col min="7" max="7" width="10.42578125" style="1" customWidth="1"/>
    <col min="8" max="8" width="12.28515625" style="1" customWidth="1"/>
    <col min="9" max="9" width="20.7109375" style="1" customWidth="1"/>
    <col min="10" max="10" width="6" style="1" customWidth="1"/>
    <col min="11" max="11" width="7.28515625" style="1" customWidth="1"/>
    <col min="12" max="12" width="8.7109375" style="1" customWidth="1"/>
    <col min="13" max="13" width="10.5703125" style="1" customWidth="1"/>
    <col min="14" max="14" width="11.140625" style="1" customWidth="1"/>
    <col min="15" max="16" width="9.28515625" style="1" customWidth="1"/>
    <col min="17" max="256" width="9.140625" style="1"/>
    <col min="257" max="257" width="17.42578125" style="1" customWidth="1"/>
    <col min="258" max="258" width="10.85546875" style="1" customWidth="1"/>
    <col min="259" max="259" width="11.28515625" style="1" customWidth="1"/>
    <col min="260" max="261" width="10.42578125" style="1" customWidth="1"/>
    <col min="262" max="262" width="10.5703125" style="1" customWidth="1"/>
    <col min="263" max="263" width="10.42578125" style="1" customWidth="1"/>
    <col min="264" max="264" width="12.28515625" style="1" customWidth="1"/>
    <col min="265" max="265" width="20.7109375" style="1" customWidth="1"/>
    <col min="266" max="266" width="6" style="1" customWidth="1"/>
    <col min="267" max="267" width="7.28515625" style="1" customWidth="1"/>
    <col min="268" max="268" width="8.7109375" style="1" customWidth="1"/>
    <col min="269" max="269" width="10.5703125" style="1" customWidth="1"/>
    <col min="270" max="270" width="11.140625" style="1" customWidth="1"/>
    <col min="271" max="272" width="9.28515625" style="1" customWidth="1"/>
    <col min="273" max="512" width="9.140625" style="1"/>
    <col min="513" max="513" width="17.42578125" style="1" customWidth="1"/>
    <col min="514" max="514" width="10.85546875" style="1" customWidth="1"/>
    <col min="515" max="515" width="11.28515625" style="1" customWidth="1"/>
    <col min="516" max="517" width="10.42578125" style="1" customWidth="1"/>
    <col min="518" max="518" width="10.5703125" style="1" customWidth="1"/>
    <col min="519" max="519" width="10.42578125" style="1" customWidth="1"/>
    <col min="520" max="520" width="12.28515625" style="1" customWidth="1"/>
    <col min="521" max="521" width="20.7109375" style="1" customWidth="1"/>
    <col min="522" max="522" width="6" style="1" customWidth="1"/>
    <col min="523" max="523" width="7.28515625" style="1" customWidth="1"/>
    <col min="524" max="524" width="8.7109375" style="1" customWidth="1"/>
    <col min="525" max="525" width="10.5703125" style="1" customWidth="1"/>
    <col min="526" max="526" width="11.140625" style="1" customWidth="1"/>
    <col min="527" max="528" width="9.28515625" style="1" customWidth="1"/>
    <col min="529" max="768" width="9.140625" style="1"/>
    <col min="769" max="769" width="17.42578125" style="1" customWidth="1"/>
    <col min="770" max="770" width="10.85546875" style="1" customWidth="1"/>
    <col min="771" max="771" width="11.28515625" style="1" customWidth="1"/>
    <col min="772" max="773" width="10.42578125" style="1" customWidth="1"/>
    <col min="774" max="774" width="10.5703125" style="1" customWidth="1"/>
    <col min="775" max="775" width="10.42578125" style="1" customWidth="1"/>
    <col min="776" max="776" width="12.28515625" style="1" customWidth="1"/>
    <col min="777" max="777" width="20.7109375" style="1" customWidth="1"/>
    <col min="778" max="778" width="6" style="1" customWidth="1"/>
    <col min="779" max="779" width="7.28515625" style="1" customWidth="1"/>
    <col min="780" max="780" width="8.7109375" style="1" customWidth="1"/>
    <col min="781" max="781" width="10.5703125" style="1" customWidth="1"/>
    <col min="782" max="782" width="11.140625" style="1" customWidth="1"/>
    <col min="783" max="784" width="9.28515625" style="1" customWidth="1"/>
    <col min="785" max="1024" width="9.140625" style="1"/>
    <col min="1025" max="1025" width="17.42578125" style="1" customWidth="1"/>
    <col min="1026" max="1026" width="10.85546875" style="1" customWidth="1"/>
    <col min="1027" max="1027" width="11.28515625" style="1" customWidth="1"/>
    <col min="1028" max="1029" width="10.42578125" style="1" customWidth="1"/>
    <col min="1030" max="1030" width="10.5703125" style="1" customWidth="1"/>
    <col min="1031" max="1031" width="10.42578125" style="1" customWidth="1"/>
    <col min="1032" max="1032" width="12.28515625" style="1" customWidth="1"/>
    <col min="1033" max="1033" width="20.7109375" style="1" customWidth="1"/>
    <col min="1034" max="1034" width="6" style="1" customWidth="1"/>
    <col min="1035" max="1035" width="7.28515625" style="1" customWidth="1"/>
    <col min="1036" max="1036" width="8.7109375" style="1" customWidth="1"/>
    <col min="1037" max="1037" width="10.5703125" style="1" customWidth="1"/>
    <col min="1038" max="1038" width="11.140625" style="1" customWidth="1"/>
    <col min="1039" max="1040" width="9.28515625" style="1" customWidth="1"/>
    <col min="1041" max="1280" width="9.140625" style="1"/>
    <col min="1281" max="1281" width="17.42578125" style="1" customWidth="1"/>
    <col min="1282" max="1282" width="10.85546875" style="1" customWidth="1"/>
    <col min="1283" max="1283" width="11.28515625" style="1" customWidth="1"/>
    <col min="1284" max="1285" width="10.42578125" style="1" customWidth="1"/>
    <col min="1286" max="1286" width="10.5703125" style="1" customWidth="1"/>
    <col min="1287" max="1287" width="10.42578125" style="1" customWidth="1"/>
    <col min="1288" max="1288" width="12.28515625" style="1" customWidth="1"/>
    <col min="1289" max="1289" width="20.7109375" style="1" customWidth="1"/>
    <col min="1290" max="1290" width="6" style="1" customWidth="1"/>
    <col min="1291" max="1291" width="7.28515625" style="1" customWidth="1"/>
    <col min="1292" max="1292" width="8.7109375" style="1" customWidth="1"/>
    <col min="1293" max="1293" width="10.5703125" style="1" customWidth="1"/>
    <col min="1294" max="1294" width="11.140625" style="1" customWidth="1"/>
    <col min="1295" max="1296" width="9.28515625" style="1" customWidth="1"/>
    <col min="1297" max="1536" width="9.140625" style="1"/>
    <col min="1537" max="1537" width="17.42578125" style="1" customWidth="1"/>
    <col min="1538" max="1538" width="10.85546875" style="1" customWidth="1"/>
    <col min="1539" max="1539" width="11.28515625" style="1" customWidth="1"/>
    <col min="1540" max="1541" width="10.42578125" style="1" customWidth="1"/>
    <col min="1542" max="1542" width="10.5703125" style="1" customWidth="1"/>
    <col min="1543" max="1543" width="10.42578125" style="1" customWidth="1"/>
    <col min="1544" max="1544" width="12.28515625" style="1" customWidth="1"/>
    <col min="1545" max="1545" width="20.7109375" style="1" customWidth="1"/>
    <col min="1546" max="1546" width="6" style="1" customWidth="1"/>
    <col min="1547" max="1547" width="7.28515625" style="1" customWidth="1"/>
    <col min="1548" max="1548" width="8.7109375" style="1" customWidth="1"/>
    <col min="1549" max="1549" width="10.5703125" style="1" customWidth="1"/>
    <col min="1550" max="1550" width="11.140625" style="1" customWidth="1"/>
    <col min="1551" max="1552" width="9.28515625" style="1" customWidth="1"/>
    <col min="1553" max="1792" width="9.140625" style="1"/>
    <col min="1793" max="1793" width="17.42578125" style="1" customWidth="1"/>
    <col min="1794" max="1794" width="10.85546875" style="1" customWidth="1"/>
    <col min="1795" max="1795" width="11.28515625" style="1" customWidth="1"/>
    <col min="1796" max="1797" width="10.42578125" style="1" customWidth="1"/>
    <col min="1798" max="1798" width="10.5703125" style="1" customWidth="1"/>
    <col min="1799" max="1799" width="10.42578125" style="1" customWidth="1"/>
    <col min="1800" max="1800" width="12.28515625" style="1" customWidth="1"/>
    <col min="1801" max="1801" width="20.7109375" style="1" customWidth="1"/>
    <col min="1802" max="1802" width="6" style="1" customWidth="1"/>
    <col min="1803" max="1803" width="7.28515625" style="1" customWidth="1"/>
    <col min="1804" max="1804" width="8.7109375" style="1" customWidth="1"/>
    <col min="1805" max="1805" width="10.5703125" style="1" customWidth="1"/>
    <col min="1806" max="1806" width="11.140625" style="1" customWidth="1"/>
    <col min="1807" max="1808" width="9.28515625" style="1" customWidth="1"/>
    <col min="1809" max="2048" width="9.140625" style="1"/>
    <col min="2049" max="2049" width="17.42578125" style="1" customWidth="1"/>
    <col min="2050" max="2050" width="10.85546875" style="1" customWidth="1"/>
    <col min="2051" max="2051" width="11.28515625" style="1" customWidth="1"/>
    <col min="2052" max="2053" width="10.42578125" style="1" customWidth="1"/>
    <col min="2054" max="2054" width="10.5703125" style="1" customWidth="1"/>
    <col min="2055" max="2055" width="10.42578125" style="1" customWidth="1"/>
    <col min="2056" max="2056" width="12.28515625" style="1" customWidth="1"/>
    <col min="2057" max="2057" width="20.7109375" style="1" customWidth="1"/>
    <col min="2058" max="2058" width="6" style="1" customWidth="1"/>
    <col min="2059" max="2059" width="7.28515625" style="1" customWidth="1"/>
    <col min="2060" max="2060" width="8.7109375" style="1" customWidth="1"/>
    <col min="2061" max="2061" width="10.5703125" style="1" customWidth="1"/>
    <col min="2062" max="2062" width="11.140625" style="1" customWidth="1"/>
    <col min="2063" max="2064" width="9.28515625" style="1" customWidth="1"/>
    <col min="2065" max="2304" width="9.140625" style="1"/>
    <col min="2305" max="2305" width="17.42578125" style="1" customWidth="1"/>
    <col min="2306" max="2306" width="10.85546875" style="1" customWidth="1"/>
    <col min="2307" max="2307" width="11.28515625" style="1" customWidth="1"/>
    <col min="2308" max="2309" width="10.42578125" style="1" customWidth="1"/>
    <col min="2310" max="2310" width="10.5703125" style="1" customWidth="1"/>
    <col min="2311" max="2311" width="10.42578125" style="1" customWidth="1"/>
    <col min="2312" max="2312" width="12.28515625" style="1" customWidth="1"/>
    <col min="2313" max="2313" width="20.7109375" style="1" customWidth="1"/>
    <col min="2314" max="2314" width="6" style="1" customWidth="1"/>
    <col min="2315" max="2315" width="7.28515625" style="1" customWidth="1"/>
    <col min="2316" max="2316" width="8.7109375" style="1" customWidth="1"/>
    <col min="2317" max="2317" width="10.5703125" style="1" customWidth="1"/>
    <col min="2318" max="2318" width="11.140625" style="1" customWidth="1"/>
    <col min="2319" max="2320" width="9.28515625" style="1" customWidth="1"/>
    <col min="2321" max="2560" width="9.140625" style="1"/>
    <col min="2561" max="2561" width="17.42578125" style="1" customWidth="1"/>
    <col min="2562" max="2562" width="10.85546875" style="1" customWidth="1"/>
    <col min="2563" max="2563" width="11.28515625" style="1" customWidth="1"/>
    <col min="2564" max="2565" width="10.42578125" style="1" customWidth="1"/>
    <col min="2566" max="2566" width="10.5703125" style="1" customWidth="1"/>
    <col min="2567" max="2567" width="10.42578125" style="1" customWidth="1"/>
    <col min="2568" max="2568" width="12.28515625" style="1" customWidth="1"/>
    <col min="2569" max="2569" width="20.7109375" style="1" customWidth="1"/>
    <col min="2570" max="2570" width="6" style="1" customWidth="1"/>
    <col min="2571" max="2571" width="7.28515625" style="1" customWidth="1"/>
    <col min="2572" max="2572" width="8.7109375" style="1" customWidth="1"/>
    <col min="2573" max="2573" width="10.5703125" style="1" customWidth="1"/>
    <col min="2574" max="2574" width="11.140625" style="1" customWidth="1"/>
    <col min="2575" max="2576" width="9.28515625" style="1" customWidth="1"/>
    <col min="2577" max="2816" width="9.140625" style="1"/>
    <col min="2817" max="2817" width="17.42578125" style="1" customWidth="1"/>
    <col min="2818" max="2818" width="10.85546875" style="1" customWidth="1"/>
    <col min="2819" max="2819" width="11.28515625" style="1" customWidth="1"/>
    <col min="2820" max="2821" width="10.42578125" style="1" customWidth="1"/>
    <col min="2822" max="2822" width="10.5703125" style="1" customWidth="1"/>
    <col min="2823" max="2823" width="10.42578125" style="1" customWidth="1"/>
    <col min="2824" max="2824" width="12.28515625" style="1" customWidth="1"/>
    <col min="2825" max="2825" width="20.7109375" style="1" customWidth="1"/>
    <col min="2826" max="2826" width="6" style="1" customWidth="1"/>
    <col min="2827" max="2827" width="7.28515625" style="1" customWidth="1"/>
    <col min="2828" max="2828" width="8.7109375" style="1" customWidth="1"/>
    <col min="2829" max="2829" width="10.5703125" style="1" customWidth="1"/>
    <col min="2830" max="2830" width="11.140625" style="1" customWidth="1"/>
    <col min="2831" max="2832" width="9.28515625" style="1" customWidth="1"/>
    <col min="2833" max="3072" width="9.140625" style="1"/>
    <col min="3073" max="3073" width="17.42578125" style="1" customWidth="1"/>
    <col min="3074" max="3074" width="10.85546875" style="1" customWidth="1"/>
    <col min="3075" max="3075" width="11.28515625" style="1" customWidth="1"/>
    <col min="3076" max="3077" width="10.42578125" style="1" customWidth="1"/>
    <col min="3078" max="3078" width="10.5703125" style="1" customWidth="1"/>
    <col min="3079" max="3079" width="10.42578125" style="1" customWidth="1"/>
    <col min="3080" max="3080" width="12.28515625" style="1" customWidth="1"/>
    <col min="3081" max="3081" width="20.7109375" style="1" customWidth="1"/>
    <col min="3082" max="3082" width="6" style="1" customWidth="1"/>
    <col min="3083" max="3083" width="7.28515625" style="1" customWidth="1"/>
    <col min="3084" max="3084" width="8.7109375" style="1" customWidth="1"/>
    <col min="3085" max="3085" width="10.5703125" style="1" customWidth="1"/>
    <col min="3086" max="3086" width="11.140625" style="1" customWidth="1"/>
    <col min="3087" max="3088" width="9.28515625" style="1" customWidth="1"/>
    <col min="3089" max="3328" width="9.140625" style="1"/>
    <col min="3329" max="3329" width="17.42578125" style="1" customWidth="1"/>
    <col min="3330" max="3330" width="10.85546875" style="1" customWidth="1"/>
    <col min="3331" max="3331" width="11.28515625" style="1" customWidth="1"/>
    <col min="3332" max="3333" width="10.42578125" style="1" customWidth="1"/>
    <col min="3334" max="3334" width="10.5703125" style="1" customWidth="1"/>
    <col min="3335" max="3335" width="10.42578125" style="1" customWidth="1"/>
    <col min="3336" max="3336" width="12.28515625" style="1" customWidth="1"/>
    <col min="3337" max="3337" width="20.7109375" style="1" customWidth="1"/>
    <col min="3338" max="3338" width="6" style="1" customWidth="1"/>
    <col min="3339" max="3339" width="7.28515625" style="1" customWidth="1"/>
    <col min="3340" max="3340" width="8.7109375" style="1" customWidth="1"/>
    <col min="3341" max="3341" width="10.5703125" style="1" customWidth="1"/>
    <col min="3342" max="3342" width="11.140625" style="1" customWidth="1"/>
    <col min="3343" max="3344" width="9.28515625" style="1" customWidth="1"/>
    <col min="3345" max="3584" width="9.140625" style="1"/>
    <col min="3585" max="3585" width="17.42578125" style="1" customWidth="1"/>
    <col min="3586" max="3586" width="10.85546875" style="1" customWidth="1"/>
    <col min="3587" max="3587" width="11.28515625" style="1" customWidth="1"/>
    <col min="3588" max="3589" width="10.42578125" style="1" customWidth="1"/>
    <col min="3590" max="3590" width="10.5703125" style="1" customWidth="1"/>
    <col min="3591" max="3591" width="10.42578125" style="1" customWidth="1"/>
    <col min="3592" max="3592" width="12.28515625" style="1" customWidth="1"/>
    <col min="3593" max="3593" width="20.7109375" style="1" customWidth="1"/>
    <col min="3594" max="3594" width="6" style="1" customWidth="1"/>
    <col min="3595" max="3595" width="7.28515625" style="1" customWidth="1"/>
    <col min="3596" max="3596" width="8.7109375" style="1" customWidth="1"/>
    <col min="3597" max="3597" width="10.5703125" style="1" customWidth="1"/>
    <col min="3598" max="3598" width="11.140625" style="1" customWidth="1"/>
    <col min="3599" max="3600" width="9.28515625" style="1" customWidth="1"/>
    <col min="3601" max="3840" width="9.140625" style="1"/>
    <col min="3841" max="3841" width="17.42578125" style="1" customWidth="1"/>
    <col min="3842" max="3842" width="10.85546875" style="1" customWidth="1"/>
    <col min="3843" max="3843" width="11.28515625" style="1" customWidth="1"/>
    <col min="3844" max="3845" width="10.42578125" style="1" customWidth="1"/>
    <col min="3846" max="3846" width="10.5703125" style="1" customWidth="1"/>
    <col min="3847" max="3847" width="10.42578125" style="1" customWidth="1"/>
    <col min="3848" max="3848" width="12.28515625" style="1" customWidth="1"/>
    <col min="3849" max="3849" width="20.7109375" style="1" customWidth="1"/>
    <col min="3850" max="3850" width="6" style="1" customWidth="1"/>
    <col min="3851" max="3851" width="7.28515625" style="1" customWidth="1"/>
    <col min="3852" max="3852" width="8.7109375" style="1" customWidth="1"/>
    <col min="3853" max="3853" width="10.5703125" style="1" customWidth="1"/>
    <col min="3854" max="3854" width="11.140625" style="1" customWidth="1"/>
    <col min="3855" max="3856" width="9.28515625" style="1" customWidth="1"/>
    <col min="3857" max="4096" width="9.140625" style="1"/>
    <col min="4097" max="4097" width="17.42578125" style="1" customWidth="1"/>
    <col min="4098" max="4098" width="10.85546875" style="1" customWidth="1"/>
    <col min="4099" max="4099" width="11.28515625" style="1" customWidth="1"/>
    <col min="4100" max="4101" width="10.42578125" style="1" customWidth="1"/>
    <col min="4102" max="4102" width="10.5703125" style="1" customWidth="1"/>
    <col min="4103" max="4103" width="10.42578125" style="1" customWidth="1"/>
    <col min="4104" max="4104" width="12.28515625" style="1" customWidth="1"/>
    <col min="4105" max="4105" width="20.7109375" style="1" customWidth="1"/>
    <col min="4106" max="4106" width="6" style="1" customWidth="1"/>
    <col min="4107" max="4107" width="7.28515625" style="1" customWidth="1"/>
    <col min="4108" max="4108" width="8.7109375" style="1" customWidth="1"/>
    <col min="4109" max="4109" width="10.5703125" style="1" customWidth="1"/>
    <col min="4110" max="4110" width="11.140625" style="1" customWidth="1"/>
    <col min="4111" max="4112" width="9.28515625" style="1" customWidth="1"/>
    <col min="4113" max="4352" width="9.140625" style="1"/>
    <col min="4353" max="4353" width="17.42578125" style="1" customWidth="1"/>
    <col min="4354" max="4354" width="10.85546875" style="1" customWidth="1"/>
    <col min="4355" max="4355" width="11.28515625" style="1" customWidth="1"/>
    <col min="4356" max="4357" width="10.42578125" style="1" customWidth="1"/>
    <col min="4358" max="4358" width="10.5703125" style="1" customWidth="1"/>
    <col min="4359" max="4359" width="10.42578125" style="1" customWidth="1"/>
    <col min="4360" max="4360" width="12.28515625" style="1" customWidth="1"/>
    <col min="4361" max="4361" width="20.7109375" style="1" customWidth="1"/>
    <col min="4362" max="4362" width="6" style="1" customWidth="1"/>
    <col min="4363" max="4363" width="7.28515625" style="1" customWidth="1"/>
    <col min="4364" max="4364" width="8.7109375" style="1" customWidth="1"/>
    <col min="4365" max="4365" width="10.5703125" style="1" customWidth="1"/>
    <col min="4366" max="4366" width="11.140625" style="1" customWidth="1"/>
    <col min="4367" max="4368" width="9.28515625" style="1" customWidth="1"/>
    <col min="4369" max="4608" width="9.140625" style="1"/>
    <col min="4609" max="4609" width="17.42578125" style="1" customWidth="1"/>
    <col min="4610" max="4610" width="10.85546875" style="1" customWidth="1"/>
    <col min="4611" max="4611" width="11.28515625" style="1" customWidth="1"/>
    <col min="4612" max="4613" width="10.42578125" style="1" customWidth="1"/>
    <col min="4614" max="4614" width="10.5703125" style="1" customWidth="1"/>
    <col min="4615" max="4615" width="10.42578125" style="1" customWidth="1"/>
    <col min="4616" max="4616" width="12.28515625" style="1" customWidth="1"/>
    <col min="4617" max="4617" width="20.7109375" style="1" customWidth="1"/>
    <col min="4618" max="4618" width="6" style="1" customWidth="1"/>
    <col min="4619" max="4619" width="7.28515625" style="1" customWidth="1"/>
    <col min="4620" max="4620" width="8.7109375" style="1" customWidth="1"/>
    <col min="4621" max="4621" width="10.5703125" style="1" customWidth="1"/>
    <col min="4622" max="4622" width="11.140625" style="1" customWidth="1"/>
    <col min="4623" max="4624" width="9.28515625" style="1" customWidth="1"/>
    <col min="4625" max="4864" width="9.140625" style="1"/>
    <col min="4865" max="4865" width="17.42578125" style="1" customWidth="1"/>
    <col min="4866" max="4866" width="10.85546875" style="1" customWidth="1"/>
    <col min="4867" max="4867" width="11.28515625" style="1" customWidth="1"/>
    <col min="4868" max="4869" width="10.42578125" style="1" customWidth="1"/>
    <col min="4870" max="4870" width="10.5703125" style="1" customWidth="1"/>
    <col min="4871" max="4871" width="10.42578125" style="1" customWidth="1"/>
    <col min="4872" max="4872" width="12.28515625" style="1" customWidth="1"/>
    <col min="4873" max="4873" width="20.7109375" style="1" customWidth="1"/>
    <col min="4874" max="4874" width="6" style="1" customWidth="1"/>
    <col min="4875" max="4875" width="7.28515625" style="1" customWidth="1"/>
    <col min="4876" max="4876" width="8.7109375" style="1" customWidth="1"/>
    <col min="4877" max="4877" width="10.5703125" style="1" customWidth="1"/>
    <col min="4878" max="4878" width="11.140625" style="1" customWidth="1"/>
    <col min="4879" max="4880" width="9.28515625" style="1" customWidth="1"/>
    <col min="4881" max="5120" width="9.140625" style="1"/>
    <col min="5121" max="5121" width="17.42578125" style="1" customWidth="1"/>
    <col min="5122" max="5122" width="10.85546875" style="1" customWidth="1"/>
    <col min="5123" max="5123" width="11.28515625" style="1" customWidth="1"/>
    <col min="5124" max="5125" width="10.42578125" style="1" customWidth="1"/>
    <col min="5126" max="5126" width="10.5703125" style="1" customWidth="1"/>
    <col min="5127" max="5127" width="10.42578125" style="1" customWidth="1"/>
    <col min="5128" max="5128" width="12.28515625" style="1" customWidth="1"/>
    <col min="5129" max="5129" width="20.7109375" style="1" customWidth="1"/>
    <col min="5130" max="5130" width="6" style="1" customWidth="1"/>
    <col min="5131" max="5131" width="7.28515625" style="1" customWidth="1"/>
    <col min="5132" max="5132" width="8.7109375" style="1" customWidth="1"/>
    <col min="5133" max="5133" width="10.5703125" style="1" customWidth="1"/>
    <col min="5134" max="5134" width="11.140625" style="1" customWidth="1"/>
    <col min="5135" max="5136" width="9.28515625" style="1" customWidth="1"/>
    <col min="5137" max="5376" width="9.140625" style="1"/>
    <col min="5377" max="5377" width="17.42578125" style="1" customWidth="1"/>
    <col min="5378" max="5378" width="10.85546875" style="1" customWidth="1"/>
    <col min="5379" max="5379" width="11.28515625" style="1" customWidth="1"/>
    <col min="5380" max="5381" width="10.42578125" style="1" customWidth="1"/>
    <col min="5382" max="5382" width="10.5703125" style="1" customWidth="1"/>
    <col min="5383" max="5383" width="10.42578125" style="1" customWidth="1"/>
    <col min="5384" max="5384" width="12.28515625" style="1" customWidth="1"/>
    <col min="5385" max="5385" width="20.7109375" style="1" customWidth="1"/>
    <col min="5386" max="5386" width="6" style="1" customWidth="1"/>
    <col min="5387" max="5387" width="7.28515625" style="1" customWidth="1"/>
    <col min="5388" max="5388" width="8.7109375" style="1" customWidth="1"/>
    <col min="5389" max="5389" width="10.5703125" style="1" customWidth="1"/>
    <col min="5390" max="5390" width="11.140625" style="1" customWidth="1"/>
    <col min="5391" max="5392" width="9.28515625" style="1" customWidth="1"/>
    <col min="5393" max="5632" width="9.140625" style="1"/>
    <col min="5633" max="5633" width="17.42578125" style="1" customWidth="1"/>
    <col min="5634" max="5634" width="10.85546875" style="1" customWidth="1"/>
    <col min="5635" max="5635" width="11.28515625" style="1" customWidth="1"/>
    <col min="5636" max="5637" width="10.42578125" style="1" customWidth="1"/>
    <col min="5638" max="5638" width="10.5703125" style="1" customWidth="1"/>
    <col min="5639" max="5639" width="10.42578125" style="1" customWidth="1"/>
    <col min="5640" max="5640" width="12.28515625" style="1" customWidth="1"/>
    <col min="5641" max="5641" width="20.7109375" style="1" customWidth="1"/>
    <col min="5642" max="5642" width="6" style="1" customWidth="1"/>
    <col min="5643" max="5643" width="7.28515625" style="1" customWidth="1"/>
    <col min="5644" max="5644" width="8.7109375" style="1" customWidth="1"/>
    <col min="5645" max="5645" width="10.5703125" style="1" customWidth="1"/>
    <col min="5646" max="5646" width="11.140625" style="1" customWidth="1"/>
    <col min="5647" max="5648" width="9.28515625" style="1" customWidth="1"/>
    <col min="5649" max="5888" width="9.140625" style="1"/>
    <col min="5889" max="5889" width="17.42578125" style="1" customWidth="1"/>
    <col min="5890" max="5890" width="10.85546875" style="1" customWidth="1"/>
    <col min="5891" max="5891" width="11.28515625" style="1" customWidth="1"/>
    <col min="5892" max="5893" width="10.42578125" style="1" customWidth="1"/>
    <col min="5894" max="5894" width="10.5703125" style="1" customWidth="1"/>
    <col min="5895" max="5895" width="10.42578125" style="1" customWidth="1"/>
    <col min="5896" max="5896" width="12.28515625" style="1" customWidth="1"/>
    <col min="5897" max="5897" width="20.7109375" style="1" customWidth="1"/>
    <col min="5898" max="5898" width="6" style="1" customWidth="1"/>
    <col min="5899" max="5899" width="7.28515625" style="1" customWidth="1"/>
    <col min="5900" max="5900" width="8.7109375" style="1" customWidth="1"/>
    <col min="5901" max="5901" width="10.5703125" style="1" customWidth="1"/>
    <col min="5902" max="5902" width="11.140625" style="1" customWidth="1"/>
    <col min="5903" max="5904" width="9.28515625" style="1" customWidth="1"/>
    <col min="5905" max="6144" width="9.140625" style="1"/>
    <col min="6145" max="6145" width="17.42578125" style="1" customWidth="1"/>
    <col min="6146" max="6146" width="10.85546875" style="1" customWidth="1"/>
    <col min="6147" max="6147" width="11.28515625" style="1" customWidth="1"/>
    <col min="6148" max="6149" width="10.42578125" style="1" customWidth="1"/>
    <col min="6150" max="6150" width="10.5703125" style="1" customWidth="1"/>
    <col min="6151" max="6151" width="10.42578125" style="1" customWidth="1"/>
    <col min="6152" max="6152" width="12.28515625" style="1" customWidth="1"/>
    <col min="6153" max="6153" width="20.7109375" style="1" customWidth="1"/>
    <col min="6154" max="6154" width="6" style="1" customWidth="1"/>
    <col min="6155" max="6155" width="7.28515625" style="1" customWidth="1"/>
    <col min="6156" max="6156" width="8.7109375" style="1" customWidth="1"/>
    <col min="6157" max="6157" width="10.5703125" style="1" customWidth="1"/>
    <col min="6158" max="6158" width="11.140625" style="1" customWidth="1"/>
    <col min="6159" max="6160" width="9.28515625" style="1" customWidth="1"/>
    <col min="6161" max="6400" width="9.140625" style="1"/>
    <col min="6401" max="6401" width="17.42578125" style="1" customWidth="1"/>
    <col min="6402" max="6402" width="10.85546875" style="1" customWidth="1"/>
    <col min="6403" max="6403" width="11.28515625" style="1" customWidth="1"/>
    <col min="6404" max="6405" width="10.42578125" style="1" customWidth="1"/>
    <col min="6406" max="6406" width="10.5703125" style="1" customWidth="1"/>
    <col min="6407" max="6407" width="10.42578125" style="1" customWidth="1"/>
    <col min="6408" max="6408" width="12.28515625" style="1" customWidth="1"/>
    <col min="6409" max="6409" width="20.7109375" style="1" customWidth="1"/>
    <col min="6410" max="6410" width="6" style="1" customWidth="1"/>
    <col min="6411" max="6411" width="7.28515625" style="1" customWidth="1"/>
    <col min="6412" max="6412" width="8.7109375" style="1" customWidth="1"/>
    <col min="6413" max="6413" width="10.5703125" style="1" customWidth="1"/>
    <col min="6414" max="6414" width="11.140625" style="1" customWidth="1"/>
    <col min="6415" max="6416" width="9.28515625" style="1" customWidth="1"/>
    <col min="6417" max="6656" width="9.140625" style="1"/>
    <col min="6657" max="6657" width="17.42578125" style="1" customWidth="1"/>
    <col min="6658" max="6658" width="10.85546875" style="1" customWidth="1"/>
    <col min="6659" max="6659" width="11.28515625" style="1" customWidth="1"/>
    <col min="6660" max="6661" width="10.42578125" style="1" customWidth="1"/>
    <col min="6662" max="6662" width="10.5703125" style="1" customWidth="1"/>
    <col min="6663" max="6663" width="10.42578125" style="1" customWidth="1"/>
    <col min="6664" max="6664" width="12.28515625" style="1" customWidth="1"/>
    <col min="6665" max="6665" width="20.7109375" style="1" customWidth="1"/>
    <col min="6666" max="6666" width="6" style="1" customWidth="1"/>
    <col min="6667" max="6667" width="7.28515625" style="1" customWidth="1"/>
    <col min="6668" max="6668" width="8.7109375" style="1" customWidth="1"/>
    <col min="6669" max="6669" width="10.5703125" style="1" customWidth="1"/>
    <col min="6670" max="6670" width="11.140625" style="1" customWidth="1"/>
    <col min="6671" max="6672" width="9.28515625" style="1" customWidth="1"/>
    <col min="6673" max="6912" width="9.140625" style="1"/>
    <col min="6913" max="6913" width="17.42578125" style="1" customWidth="1"/>
    <col min="6914" max="6914" width="10.85546875" style="1" customWidth="1"/>
    <col min="6915" max="6915" width="11.28515625" style="1" customWidth="1"/>
    <col min="6916" max="6917" width="10.42578125" style="1" customWidth="1"/>
    <col min="6918" max="6918" width="10.5703125" style="1" customWidth="1"/>
    <col min="6919" max="6919" width="10.42578125" style="1" customWidth="1"/>
    <col min="6920" max="6920" width="12.28515625" style="1" customWidth="1"/>
    <col min="6921" max="6921" width="20.7109375" style="1" customWidth="1"/>
    <col min="6922" max="6922" width="6" style="1" customWidth="1"/>
    <col min="6923" max="6923" width="7.28515625" style="1" customWidth="1"/>
    <col min="6924" max="6924" width="8.7109375" style="1" customWidth="1"/>
    <col min="6925" max="6925" width="10.5703125" style="1" customWidth="1"/>
    <col min="6926" max="6926" width="11.140625" style="1" customWidth="1"/>
    <col min="6927" max="6928" width="9.28515625" style="1" customWidth="1"/>
    <col min="6929" max="7168" width="9.140625" style="1"/>
    <col min="7169" max="7169" width="17.42578125" style="1" customWidth="1"/>
    <col min="7170" max="7170" width="10.85546875" style="1" customWidth="1"/>
    <col min="7171" max="7171" width="11.28515625" style="1" customWidth="1"/>
    <col min="7172" max="7173" width="10.42578125" style="1" customWidth="1"/>
    <col min="7174" max="7174" width="10.5703125" style="1" customWidth="1"/>
    <col min="7175" max="7175" width="10.42578125" style="1" customWidth="1"/>
    <col min="7176" max="7176" width="12.28515625" style="1" customWidth="1"/>
    <col min="7177" max="7177" width="20.7109375" style="1" customWidth="1"/>
    <col min="7178" max="7178" width="6" style="1" customWidth="1"/>
    <col min="7179" max="7179" width="7.28515625" style="1" customWidth="1"/>
    <col min="7180" max="7180" width="8.7109375" style="1" customWidth="1"/>
    <col min="7181" max="7181" width="10.5703125" style="1" customWidth="1"/>
    <col min="7182" max="7182" width="11.140625" style="1" customWidth="1"/>
    <col min="7183" max="7184" width="9.28515625" style="1" customWidth="1"/>
    <col min="7185" max="7424" width="9.140625" style="1"/>
    <col min="7425" max="7425" width="17.42578125" style="1" customWidth="1"/>
    <col min="7426" max="7426" width="10.85546875" style="1" customWidth="1"/>
    <col min="7427" max="7427" width="11.28515625" style="1" customWidth="1"/>
    <col min="7428" max="7429" width="10.42578125" style="1" customWidth="1"/>
    <col min="7430" max="7430" width="10.5703125" style="1" customWidth="1"/>
    <col min="7431" max="7431" width="10.42578125" style="1" customWidth="1"/>
    <col min="7432" max="7432" width="12.28515625" style="1" customWidth="1"/>
    <col min="7433" max="7433" width="20.7109375" style="1" customWidth="1"/>
    <col min="7434" max="7434" width="6" style="1" customWidth="1"/>
    <col min="7435" max="7435" width="7.28515625" style="1" customWidth="1"/>
    <col min="7436" max="7436" width="8.7109375" style="1" customWidth="1"/>
    <col min="7437" max="7437" width="10.5703125" style="1" customWidth="1"/>
    <col min="7438" max="7438" width="11.140625" style="1" customWidth="1"/>
    <col min="7439" max="7440" width="9.28515625" style="1" customWidth="1"/>
    <col min="7441" max="7680" width="9.140625" style="1"/>
    <col min="7681" max="7681" width="17.42578125" style="1" customWidth="1"/>
    <col min="7682" max="7682" width="10.85546875" style="1" customWidth="1"/>
    <col min="7683" max="7683" width="11.28515625" style="1" customWidth="1"/>
    <col min="7684" max="7685" width="10.42578125" style="1" customWidth="1"/>
    <col min="7686" max="7686" width="10.5703125" style="1" customWidth="1"/>
    <col min="7687" max="7687" width="10.42578125" style="1" customWidth="1"/>
    <col min="7688" max="7688" width="12.28515625" style="1" customWidth="1"/>
    <col min="7689" max="7689" width="20.7109375" style="1" customWidth="1"/>
    <col min="7690" max="7690" width="6" style="1" customWidth="1"/>
    <col min="7691" max="7691" width="7.28515625" style="1" customWidth="1"/>
    <col min="7692" max="7692" width="8.7109375" style="1" customWidth="1"/>
    <col min="7693" max="7693" width="10.5703125" style="1" customWidth="1"/>
    <col min="7694" max="7694" width="11.140625" style="1" customWidth="1"/>
    <col min="7695" max="7696" width="9.28515625" style="1" customWidth="1"/>
    <col min="7697" max="7936" width="9.140625" style="1"/>
    <col min="7937" max="7937" width="17.42578125" style="1" customWidth="1"/>
    <col min="7938" max="7938" width="10.85546875" style="1" customWidth="1"/>
    <col min="7939" max="7939" width="11.28515625" style="1" customWidth="1"/>
    <col min="7940" max="7941" width="10.42578125" style="1" customWidth="1"/>
    <col min="7942" max="7942" width="10.5703125" style="1" customWidth="1"/>
    <col min="7943" max="7943" width="10.42578125" style="1" customWidth="1"/>
    <col min="7944" max="7944" width="12.28515625" style="1" customWidth="1"/>
    <col min="7945" max="7945" width="20.7109375" style="1" customWidth="1"/>
    <col min="7946" max="7946" width="6" style="1" customWidth="1"/>
    <col min="7947" max="7947" width="7.28515625" style="1" customWidth="1"/>
    <col min="7948" max="7948" width="8.7109375" style="1" customWidth="1"/>
    <col min="7949" max="7949" width="10.5703125" style="1" customWidth="1"/>
    <col min="7950" max="7950" width="11.140625" style="1" customWidth="1"/>
    <col min="7951" max="7952" width="9.28515625" style="1" customWidth="1"/>
    <col min="7953" max="8192" width="9.140625" style="1"/>
    <col min="8193" max="8193" width="17.42578125" style="1" customWidth="1"/>
    <col min="8194" max="8194" width="10.85546875" style="1" customWidth="1"/>
    <col min="8195" max="8195" width="11.28515625" style="1" customWidth="1"/>
    <col min="8196" max="8197" width="10.42578125" style="1" customWidth="1"/>
    <col min="8198" max="8198" width="10.5703125" style="1" customWidth="1"/>
    <col min="8199" max="8199" width="10.42578125" style="1" customWidth="1"/>
    <col min="8200" max="8200" width="12.28515625" style="1" customWidth="1"/>
    <col min="8201" max="8201" width="20.7109375" style="1" customWidth="1"/>
    <col min="8202" max="8202" width="6" style="1" customWidth="1"/>
    <col min="8203" max="8203" width="7.28515625" style="1" customWidth="1"/>
    <col min="8204" max="8204" width="8.7109375" style="1" customWidth="1"/>
    <col min="8205" max="8205" width="10.5703125" style="1" customWidth="1"/>
    <col min="8206" max="8206" width="11.140625" style="1" customWidth="1"/>
    <col min="8207" max="8208" width="9.28515625" style="1" customWidth="1"/>
    <col min="8209" max="8448" width="9.140625" style="1"/>
    <col min="8449" max="8449" width="17.42578125" style="1" customWidth="1"/>
    <col min="8450" max="8450" width="10.85546875" style="1" customWidth="1"/>
    <col min="8451" max="8451" width="11.28515625" style="1" customWidth="1"/>
    <col min="8452" max="8453" width="10.42578125" style="1" customWidth="1"/>
    <col min="8454" max="8454" width="10.5703125" style="1" customWidth="1"/>
    <col min="8455" max="8455" width="10.42578125" style="1" customWidth="1"/>
    <col min="8456" max="8456" width="12.28515625" style="1" customWidth="1"/>
    <col min="8457" max="8457" width="20.7109375" style="1" customWidth="1"/>
    <col min="8458" max="8458" width="6" style="1" customWidth="1"/>
    <col min="8459" max="8459" width="7.28515625" style="1" customWidth="1"/>
    <col min="8460" max="8460" width="8.7109375" style="1" customWidth="1"/>
    <col min="8461" max="8461" width="10.5703125" style="1" customWidth="1"/>
    <col min="8462" max="8462" width="11.140625" style="1" customWidth="1"/>
    <col min="8463" max="8464" width="9.28515625" style="1" customWidth="1"/>
    <col min="8465" max="8704" width="9.140625" style="1"/>
    <col min="8705" max="8705" width="17.42578125" style="1" customWidth="1"/>
    <col min="8706" max="8706" width="10.85546875" style="1" customWidth="1"/>
    <col min="8707" max="8707" width="11.28515625" style="1" customWidth="1"/>
    <col min="8708" max="8709" width="10.42578125" style="1" customWidth="1"/>
    <col min="8710" max="8710" width="10.5703125" style="1" customWidth="1"/>
    <col min="8711" max="8711" width="10.42578125" style="1" customWidth="1"/>
    <col min="8712" max="8712" width="12.28515625" style="1" customWidth="1"/>
    <col min="8713" max="8713" width="20.7109375" style="1" customWidth="1"/>
    <col min="8714" max="8714" width="6" style="1" customWidth="1"/>
    <col min="8715" max="8715" width="7.28515625" style="1" customWidth="1"/>
    <col min="8716" max="8716" width="8.7109375" style="1" customWidth="1"/>
    <col min="8717" max="8717" width="10.5703125" style="1" customWidth="1"/>
    <col min="8718" max="8718" width="11.140625" style="1" customWidth="1"/>
    <col min="8719" max="8720" width="9.28515625" style="1" customWidth="1"/>
    <col min="8721" max="8960" width="9.140625" style="1"/>
    <col min="8961" max="8961" width="17.42578125" style="1" customWidth="1"/>
    <col min="8962" max="8962" width="10.85546875" style="1" customWidth="1"/>
    <col min="8963" max="8963" width="11.28515625" style="1" customWidth="1"/>
    <col min="8964" max="8965" width="10.42578125" style="1" customWidth="1"/>
    <col min="8966" max="8966" width="10.5703125" style="1" customWidth="1"/>
    <col min="8967" max="8967" width="10.42578125" style="1" customWidth="1"/>
    <col min="8968" max="8968" width="12.28515625" style="1" customWidth="1"/>
    <col min="8969" max="8969" width="20.7109375" style="1" customWidth="1"/>
    <col min="8970" max="8970" width="6" style="1" customWidth="1"/>
    <col min="8971" max="8971" width="7.28515625" style="1" customWidth="1"/>
    <col min="8972" max="8972" width="8.7109375" style="1" customWidth="1"/>
    <col min="8973" max="8973" width="10.5703125" style="1" customWidth="1"/>
    <col min="8974" max="8974" width="11.140625" style="1" customWidth="1"/>
    <col min="8975" max="8976" width="9.28515625" style="1" customWidth="1"/>
    <col min="8977" max="9216" width="9.140625" style="1"/>
    <col min="9217" max="9217" width="17.42578125" style="1" customWidth="1"/>
    <col min="9218" max="9218" width="10.85546875" style="1" customWidth="1"/>
    <col min="9219" max="9219" width="11.28515625" style="1" customWidth="1"/>
    <col min="9220" max="9221" width="10.42578125" style="1" customWidth="1"/>
    <col min="9222" max="9222" width="10.5703125" style="1" customWidth="1"/>
    <col min="9223" max="9223" width="10.42578125" style="1" customWidth="1"/>
    <col min="9224" max="9224" width="12.28515625" style="1" customWidth="1"/>
    <col min="9225" max="9225" width="20.7109375" style="1" customWidth="1"/>
    <col min="9226" max="9226" width="6" style="1" customWidth="1"/>
    <col min="9227" max="9227" width="7.28515625" style="1" customWidth="1"/>
    <col min="9228" max="9228" width="8.7109375" style="1" customWidth="1"/>
    <col min="9229" max="9229" width="10.5703125" style="1" customWidth="1"/>
    <col min="9230" max="9230" width="11.140625" style="1" customWidth="1"/>
    <col min="9231" max="9232" width="9.28515625" style="1" customWidth="1"/>
    <col min="9233" max="9472" width="9.140625" style="1"/>
    <col min="9473" max="9473" width="17.42578125" style="1" customWidth="1"/>
    <col min="9474" max="9474" width="10.85546875" style="1" customWidth="1"/>
    <col min="9475" max="9475" width="11.28515625" style="1" customWidth="1"/>
    <col min="9476" max="9477" width="10.42578125" style="1" customWidth="1"/>
    <col min="9478" max="9478" width="10.5703125" style="1" customWidth="1"/>
    <col min="9479" max="9479" width="10.42578125" style="1" customWidth="1"/>
    <col min="9480" max="9480" width="12.28515625" style="1" customWidth="1"/>
    <col min="9481" max="9481" width="20.7109375" style="1" customWidth="1"/>
    <col min="9482" max="9482" width="6" style="1" customWidth="1"/>
    <col min="9483" max="9483" width="7.28515625" style="1" customWidth="1"/>
    <col min="9484" max="9484" width="8.7109375" style="1" customWidth="1"/>
    <col min="9485" max="9485" width="10.5703125" style="1" customWidth="1"/>
    <col min="9486" max="9486" width="11.140625" style="1" customWidth="1"/>
    <col min="9487" max="9488" width="9.28515625" style="1" customWidth="1"/>
    <col min="9489" max="9728" width="9.140625" style="1"/>
    <col min="9729" max="9729" width="17.42578125" style="1" customWidth="1"/>
    <col min="9730" max="9730" width="10.85546875" style="1" customWidth="1"/>
    <col min="9731" max="9731" width="11.28515625" style="1" customWidth="1"/>
    <col min="9732" max="9733" width="10.42578125" style="1" customWidth="1"/>
    <col min="9734" max="9734" width="10.5703125" style="1" customWidth="1"/>
    <col min="9735" max="9735" width="10.42578125" style="1" customWidth="1"/>
    <col min="9736" max="9736" width="12.28515625" style="1" customWidth="1"/>
    <col min="9737" max="9737" width="20.7109375" style="1" customWidth="1"/>
    <col min="9738" max="9738" width="6" style="1" customWidth="1"/>
    <col min="9739" max="9739" width="7.28515625" style="1" customWidth="1"/>
    <col min="9740" max="9740" width="8.7109375" style="1" customWidth="1"/>
    <col min="9741" max="9741" width="10.5703125" style="1" customWidth="1"/>
    <col min="9742" max="9742" width="11.140625" style="1" customWidth="1"/>
    <col min="9743" max="9744" width="9.28515625" style="1" customWidth="1"/>
    <col min="9745" max="9984" width="9.140625" style="1"/>
    <col min="9985" max="9985" width="17.42578125" style="1" customWidth="1"/>
    <col min="9986" max="9986" width="10.85546875" style="1" customWidth="1"/>
    <col min="9987" max="9987" width="11.28515625" style="1" customWidth="1"/>
    <col min="9988" max="9989" width="10.42578125" style="1" customWidth="1"/>
    <col min="9990" max="9990" width="10.5703125" style="1" customWidth="1"/>
    <col min="9991" max="9991" width="10.42578125" style="1" customWidth="1"/>
    <col min="9992" max="9992" width="12.28515625" style="1" customWidth="1"/>
    <col min="9993" max="9993" width="20.7109375" style="1" customWidth="1"/>
    <col min="9994" max="9994" width="6" style="1" customWidth="1"/>
    <col min="9995" max="9995" width="7.28515625" style="1" customWidth="1"/>
    <col min="9996" max="9996" width="8.7109375" style="1" customWidth="1"/>
    <col min="9997" max="9997" width="10.5703125" style="1" customWidth="1"/>
    <col min="9998" max="9998" width="11.140625" style="1" customWidth="1"/>
    <col min="9999" max="10000" width="9.28515625" style="1" customWidth="1"/>
    <col min="10001" max="10240" width="9.140625" style="1"/>
    <col min="10241" max="10241" width="17.42578125" style="1" customWidth="1"/>
    <col min="10242" max="10242" width="10.85546875" style="1" customWidth="1"/>
    <col min="10243" max="10243" width="11.28515625" style="1" customWidth="1"/>
    <col min="10244" max="10245" width="10.42578125" style="1" customWidth="1"/>
    <col min="10246" max="10246" width="10.5703125" style="1" customWidth="1"/>
    <col min="10247" max="10247" width="10.42578125" style="1" customWidth="1"/>
    <col min="10248" max="10248" width="12.28515625" style="1" customWidth="1"/>
    <col min="10249" max="10249" width="20.7109375" style="1" customWidth="1"/>
    <col min="10250" max="10250" width="6" style="1" customWidth="1"/>
    <col min="10251" max="10251" width="7.28515625" style="1" customWidth="1"/>
    <col min="10252" max="10252" width="8.7109375" style="1" customWidth="1"/>
    <col min="10253" max="10253" width="10.5703125" style="1" customWidth="1"/>
    <col min="10254" max="10254" width="11.140625" style="1" customWidth="1"/>
    <col min="10255" max="10256" width="9.28515625" style="1" customWidth="1"/>
    <col min="10257" max="10496" width="9.140625" style="1"/>
    <col min="10497" max="10497" width="17.42578125" style="1" customWidth="1"/>
    <col min="10498" max="10498" width="10.85546875" style="1" customWidth="1"/>
    <col min="10499" max="10499" width="11.28515625" style="1" customWidth="1"/>
    <col min="10500" max="10501" width="10.42578125" style="1" customWidth="1"/>
    <col min="10502" max="10502" width="10.5703125" style="1" customWidth="1"/>
    <col min="10503" max="10503" width="10.42578125" style="1" customWidth="1"/>
    <col min="10504" max="10504" width="12.28515625" style="1" customWidth="1"/>
    <col min="10505" max="10505" width="20.7109375" style="1" customWidth="1"/>
    <col min="10506" max="10506" width="6" style="1" customWidth="1"/>
    <col min="10507" max="10507" width="7.28515625" style="1" customWidth="1"/>
    <col min="10508" max="10508" width="8.7109375" style="1" customWidth="1"/>
    <col min="10509" max="10509" width="10.5703125" style="1" customWidth="1"/>
    <col min="10510" max="10510" width="11.140625" style="1" customWidth="1"/>
    <col min="10511" max="10512" width="9.28515625" style="1" customWidth="1"/>
    <col min="10513" max="10752" width="9.140625" style="1"/>
    <col min="10753" max="10753" width="17.42578125" style="1" customWidth="1"/>
    <col min="10754" max="10754" width="10.85546875" style="1" customWidth="1"/>
    <col min="10755" max="10755" width="11.28515625" style="1" customWidth="1"/>
    <col min="10756" max="10757" width="10.42578125" style="1" customWidth="1"/>
    <col min="10758" max="10758" width="10.5703125" style="1" customWidth="1"/>
    <col min="10759" max="10759" width="10.42578125" style="1" customWidth="1"/>
    <col min="10760" max="10760" width="12.28515625" style="1" customWidth="1"/>
    <col min="10761" max="10761" width="20.7109375" style="1" customWidth="1"/>
    <col min="10762" max="10762" width="6" style="1" customWidth="1"/>
    <col min="10763" max="10763" width="7.28515625" style="1" customWidth="1"/>
    <col min="10764" max="10764" width="8.7109375" style="1" customWidth="1"/>
    <col min="10765" max="10765" width="10.5703125" style="1" customWidth="1"/>
    <col min="10766" max="10766" width="11.140625" style="1" customWidth="1"/>
    <col min="10767" max="10768" width="9.28515625" style="1" customWidth="1"/>
    <col min="10769" max="11008" width="9.140625" style="1"/>
    <col min="11009" max="11009" width="17.42578125" style="1" customWidth="1"/>
    <col min="11010" max="11010" width="10.85546875" style="1" customWidth="1"/>
    <col min="11011" max="11011" width="11.28515625" style="1" customWidth="1"/>
    <col min="11012" max="11013" width="10.42578125" style="1" customWidth="1"/>
    <col min="11014" max="11014" width="10.5703125" style="1" customWidth="1"/>
    <col min="11015" max="11015" width="10.42578125" style="1" customWidth="1"/>
    <col min="11016" max="11016" width="12.28515625" style="1" customWidth="1"/>
    <col min="11017" max="11017" width="20.7109375" style="1" customWidth="1"/>
    <col min="11018" max="11018" width="6" style="1" customWidth="1"/>
    <col min="11019" max="11019" width="7.28515625" style="1" customWidth="1"/>
    <col min="11020" max="11020" width="8.7109375" style="1" customWidth="1"/>
    <col min="11021" max="11021" width="10.5703125" style="1" customWidth="1"/>
    <col min="11022" max="11022" width="11.140625" style="1" customWidth="1"/>
    <col min="11023" max="11024" width="9.28515625" style="1" customWidth="1"/>
    <col min="11025" max="11264" width="9.140625" style="1"/>
    <col min="11265" max="11265" width="17.42578125" style="1" customWidth="1"/>
    <col min="11266" max="11266" width="10.85546875" style="1" customWidth="1"/>
    <col min="11267" max="11267" width="11.28515625" style="1" customWidth="1"/>
    <col min="11268" max="11269" width="10.42578125" style="1" customWidth="1"/>
    <col min="11270" max="11270" width="10.5703125" style="1" customWidth="1"/>
    <col min="11271" max="11271" width="10.42578125" style="1" customWidth="1"/>
    <col min="11272" max="11272" width="12.28515625" style="1" customWidth="1"/>
    <col min="11273" max="11273" width="20.7109375" style="1" customWidth="1"/>
    <col min="11274" max="11274" width="6" style="1" customWidth="1"/>
    <col min="11275" max="11275" width="7.28515625" style="1" customWidth="1"/>
    <col min="11276" max="11276" width="8.7109375" style="1" customWidth="1"/>
    <col min="11277" max="11277" width="10.5703125" style="1" customWidth="1"/>
    <col min="11278" max="11278" width="11.140625" style="1" customWidth="1"/>
    <col min="11279" max="11280" width="9.28515625" style="1" customWidth="1"/>
    <col min="11281" max="11520" width="9.140625" style="1"/>
    <col min="11521" max="11521" width="17.42578125" style="1" customWidth="1"/>
    <col min="11522" max="11522" width="10.85546875" style="1" customWidth="1"/>
    <col min="11523" max="11523" width="11.28515625" style="1" customWidth="1"/>
    <col min="11524" max="11525" width="10.42578125" style="1" customWidth="1"/>
    <col min="11526" max="11526" width="10.5703125" style="1" customWidth="1"/>
    <col min="11527" max="11527" width="10.42578125" style="1" customWidth="1"/>
    <col min="11528" max="11528" width="12.28515625" style="1" customWidth="1"/>
    <col min="11529" max="11529" width="20.7109375" style="1" customWidth="1"/>
    <col min="11530" max="11530" width="6" style="1" customWidth="1"/>
    <col min="11531" max="11531" width="7.28515625" style="1" customWidth="1"/>
    <col min="11532" max="11532" width="8.7109375" style="1" customWidth="1"/>
    <col min="11533" max="11533" width="10.5703125" style="1" customWidth="1"/>
    <col min="11534" max="11534" width="11.140625" style="1" customWidth="1"/>
    <col min="11535" max="11536" width="9.28515625" style="1" customWidth="1"/>
    <col min="11537" max="11776" width="9.140625" style="1"/>
    <col min="11777" max="11777" width="17.42578125" style="1" customWidth="1"/>
    <col min="11778" max="11778" width="10.85546875" style="1" customWidth="1"/>
    <col min="11779" max="11779" width="11.28515625" style="1" customWidth="1"/>
    <col min="11780" max="11781" width="10.42578125" style="1" customWidth="1"/>
    <col min="11782" max="11782" width="10.5703125" style="1" customWidth="1"/>
    <col min="11783" max="11783" width="10.42578125" style="1" customWidth="1"/>
    <col min="11784" max="11784" width="12.28515625" style="1" customWidth="1"/>
    <col min="11785" max="11785" width="20.7109375" style="1" customWidth="1"/>
    <col min="11786" max="11786" width="6" style="1" customWidth="1"/>
    <col min="11787" max="11787" width="7.28515625" style="1" customWidth="1"/>
    <col min="11788" max="11788" width="8.7109375" style="1" customWidth="1"/>
    <col min="11789" max="11789" width="10.5703125" style="1" customWidth="1"/>
    <col min="11790" max="11790" width="11.140625" style="1" customWidth="1"/>
    <col min="11791" max="11792" width="9.28515625" style="1" customWidth="1"/>
    <col min="11793" max="12032" width="9.140625" style="1"/>
    <col min="12033" max="12033" width="17.42578125" style="1" customWidth="1"/>
    <col min="12034" max="12034" width="10.85546875" style="1" customWidth="1"/>
    <col min="12035" max="12035" width="11.28515625" style="1" customWidth="1"/>
    <col min="12036" max="12037" width="10.42578125" style="1" customWidth="1"/>
    <col min="12038" max="12038" width="10.5703125" style="1" customWidth="1"/>
    <col min="12039" max="12039" width="10.42578125" style="1" customWidth="1"/>
    <col min="12040" max="12040" width="12.28515625" style="1" customWidth="1"/>
    <col min="12041" max="12041" width="20.7109375" style="1" customWidth="1"/>
    <col min="12042" max="12042" width="6" style="1" customWidth="1"/>
    <col min="12043" max="12043" width="7.28515625" style="1" customWidth="1"/>
    <col min="12044" max="12044" width="8.7109375" style="1" customWidth="1"/>
    <col min="12045" max="12045" width="10.5703125" style="1" customWidth="1"/>
    <col min="12046" max="12046" width="11.140625" style="1" customWidth="1"/>
    <col min="12047" max="12048" width="9.28515625" style="1" customWidth="1"/>
    <col min="12049" max="12288" width="9.140625" style="1"/>
    <col min="12289" max="12289" width="17.42578125" style="1" customWidth="1"/>
    <col min="12290" max="12290" width="10.85546875" style="1" customWidth="1"/>
    <col min="12291" max="12291" width="11.28515625" style="1" customWidth="1"/>
    <col min="12292" max="12293" width="10.42578125" style="1" customWidth="1"/>
    <col min="12294" max="12294" width="10.5703125" style="1" customWidth="1"/>
    <col min="12295" max="12295" width="10.42578125" style="1" customWidth="1"/>
    <col min="12296" max="12296" width="12.28515625" style="1" customWidth="1"/>
    <col min="12297" max="12297" width="20.7109375" style="1" customWidth="1"/>
    <col min="12298" max="12298" width="6" style="1" customWidth="1"/>
    <col min="12299" max="12299" width="7.28515625" style="1" customWidth="1"/>
    <col min="12300" max="12300" width="8.7109375" style="1" customWidth="1"/>
    <col min="12301" max="12301" width="10.5703125" style="1" customWidth="1"/>
    <col min="12302" max="12302" width="11.140625" style="1" customWidth="1"/>
    <col min="12303" max="12304" width="9.28515625" style="1" customWidth="1"/>
    <col min="12305" max="12544" width="9.140625" style="1"/>
    <col min="12545" max="12545" width="17.42578125" style="1" customWidth="1"/>
    <col min="12546" max="12546" width="10.85546875" style="1" customWidth="1"/>
    <col min="12547" max="12547" width="11.28515625" style="1" customWidth="1"/>
    <col min="12548" max="12549" width="10.42578125" style="1" customWidth="1"/>
    <col min="12550" max="12550" width="10.5703125" style="1" customWidth="1"/>
    <col min="12551" max="12551" width="10.42578125" style="1" customWidth="1"/>
    <col min="12552" max="12552" width="12.28515625" style="1" customWidth="1"/>
    <col min="12553" max="12553" width="20.7109375" style="1" customWidth="1"/>
    <col min="12554" max="12554" width="6" style="1" customWidth="1"/>
    <col min="12555" max="12555" width="7.28515625" style="1" customWidth="1"/>
    <col min="12556" max="12556" width="8.7109375" style="1" customWidth="1"/>
    <col min="12557" max="12557" width="10.5703125" style="1" customWidth="1"/>
    <col min="12558" max="12558" width="11.140625" style="1" customWidth="1"/>
    <col min="12559" max="12560" width="9.28515625" style="1" customWidth="1"/>
    <col min="12561" max="12800" width="9.140625" style="1"/>
    <col min="12801" max="12801" width="17.42578125" style="1" customWidth="1"/>
    <col min="12802" max="12802" width="10.85546875" style="1" customWidth="1"/>
    <col min="12803" max="12803" width="11.28515625" style="1" customWidth="1"/>
    <col min="12804" max="12805" width="10.42578125" style="1" customWidth="1"/>
    <col min="12806" max="12806" width="10.5703125" style="1" customWidth="1"/>
    <col min="12807" max="12807" width="10.42578125" style="1" customWidth="1"/>
    <col min="12808" max="12808" width="12.28515625" style="1" customWidth="1"/>
    <col min="12809" max="12809" width="20.7109375" style="1" customWidth="1"/>
    <col min="12810" max="12810" width="6" style="1" customWidth="1"/>
    <col min="12811" max="12811" width="7.28515625" style="1" customWidth="1"/>
    <col min="12812" max="12812" width="8.7109375" style="1" customWidth="1"/>
    <col min="12813" max="12813" width="10.5703125" style="1" customWidth="1"/>
    <col min="12814" max="12814" width="11.140625" style="1" customWidth="1"/>
    <col min="12815" max="12816" width="9.28515625" style="1" customWidth="1"/>
    <col min="12817" max="13056" width="9.140625" style="1"/>
    <col min="13057" max="13057" width="17.42578125" style="1" customWidth="1"/>
    <col min="13058" max="13058" width="10.85546875" style="1" customWidth="1"/>
    <col min="13059" max="13059" width="11.28515625" style="1" customWidth="1"/>
    <col min="13060" max="13061" width="10.42578125" style="1" customWidth="1"/>
    <col min="13062" max="13062" width="10.5703125" style="1" customWidth="1"/>
    <col min="13063" max="13063" width="10.42578125" style="1" customWidth="1"/>
    <col min="13064" max="13064" width="12.28515625" style="1" customWidth="1"/>
    <col min="13065" max="13065" width="20.7109375" style="1" customWidth="1"/>
    <col min="13066" max="13066" width="6" style="1" customWidth="1"/>
    <col min="13067" max="13067" width="7.28515625" style="1" customWidth="1"/>
    <col min="13068" max="13068" width="8.7109375" style="1" customWidth="1"/>
    <col min="13069" max="13069" width="10.5703125" style="1" customWidth="1"/>
    <col min="13070" max="13070" width="11.140625" style="1" customWidth="1"/>
    <col min="13071" max="13072" width="9.28515625" style="1" customWidth="1"/>
    <col min="13073" max="13312" width="9.140625" style="1"/>
    <col min="13313" max="13313" width="17.42578125" style="1" customWidth="1"/>
    <col min="13314" max="13314" width="10.85546875" style="1" customWidth="1"/>
    <col min="13315" max="13315" width="11.28515625" style="1" customWidth="1"/>
    <col min="13316" max="13317" width="10.42578125" style="1" customWidth="1"/>
    <col min="13318" max="13318" width="10.5703125" style="1" customWidth="1"/>
    <col min="13319" max="13319" width="10.42578125" style="1" customWidth="1"/>
    <col min="13320" max="13320" width="12.28515625" style="1" customWidth="1"/>
    <col min="13321" max="13321" width="20.7109375" style="1" customWidth="1"/>
    <col min="13322" max="13322" width="6" style="1" customWidth="1"/>
    <col min="13323" max="13323" width="7.28515625" style="1" customWidth="1"/>
    <col min="13324" max="13324" width="8.7109375" style="1" customWidth="1"/>
    <col min="13325" max="13325" width="10.5703125" style="1" customWidth="1"/>
    <col min="13326" max="13326" width="11.140625" style="1" customWidth="1"/>
    <col min="13327" max="13328" width="9.28515625" style="1" customWidth="1"/>
    <col min="13329" max="13568" width="9.140625" style="1"/>
    <col min="13569" max="13569" width="17.42578125" style="1" customWidth="1"/>
    <col min="13570" max="13570" width="10.85546875" style="1" customWidth="1"/>
    <col min="13571" max="13571" width="11.28515625" style="1" customWidth="1"/>
    <col min="13572" max="13573" width="10.42578125" style="1" customWidth="1"/>
    <col min="13574" max="13574" width="10.5703125" style="1" customWidth="1"/>
    <col min="13575" max="13575" width="10.42578125" style="1" customWidth="1"/>
    <col min="13576" max="13576" width="12.28515625" style="1" customWidth="1"/>
    <col min="13577" max="13577" width="20.7109375" style="1" customWidth="1"/>
    <col min="13578" max="13578" width="6" style="1" customWidth="1"/>
    <col min="13579" max="13579" width="7.28515625" style="1" customWidth="1"/>
    <col min="13580" max="13580" width="8.7109375" style="1" customWidth="1"/>
    <col min="13581" max="13581" width="10.5703125" style="1" customWidth="1"/>
    <col min="13582" max="13582" width="11.140625" style="1" customWidth="1"/>
    <col min="13583" max="13584" width="9.28515625" style="1" customWidth="1"/>
    <col min="13585" max="13824" width="9.140625" style="1"/>
    <col min="13825" max="13825" width="17.42578125" style="1" customWidth="1"/>
    <col min="13826" max="13826" width="10.85546875" style="1" customWidth="1"/>
    <col min="13827" max="13827" width="11.28515625" style="1" customWidth="1"/>
    <col min="13828" max="13829" width="10.42578125" style="1" customWidth="1"/>
    <col min="13830" max="13830" width="10.5703125" style="1" customWidth="1"/>
    <col min="13831" max="13831" width="10.42578125" style="1" customWidth="1"/>
    <col min="13832" max="13832" width="12.28515625" style="1" customWidth="1"/>
    <col min="13833" max="13833" width="20.7109375" style="1" customWidth="1"/>
    <col min="13834" max="13834" width="6" style="1" customWidth="1"/>
    <col min="13835" max="13835" width="7.28515625" style="1" customWidth="1"/>
    <col min="13836" max="13836" width="8.7109375" style="1" customWidth="1"/>
    <col min="13837" max="13837" width="10.5703125" style="1" customWidth="1"/>
    <col min="13838" max="13838" width="11.140625" style="1" customWidth="1"/>
    <col min="13839" max="13840" width="9.28515625" style="1" customWidth="1"/>
    <col min="13841" max="14080" width="9.140625" style="1"/>
    <col min="14081" max="14081" width="17.42578125" style="1" customWidth="1"/>
    <col min="14082" max="14082" width="10.85546875" style="1" customWidth="1"/>
    <col min="14083" max="14083" width="11.28515625" style="1" customWidth="1"/>
    <col min="14084" max="14085" width="10.42578125" style="1" customWidth="1"/>
    <col min="14086" max="14086" width="10.5703125" style="1" customWidth="1"/>
    <col min="14087" max="14087" width="10.42578125" style="1" customWidth="1"/>
    <col min="14088" max="14088" width="12.28515625" style="1" customWidth="1"/>
    <col min="14089" max="14089" width="20.7109375" style="1" customWidth="1"/>
    <col min="14090" max="14090" width="6" style="1" customWidth="1"/>
    <col min="14091" max="14091" width="7.28515625" style="1" customWidth="1"/>
    <col min="14092" max="14092" width="8.7109375" style="1" customWidth="1"/>
    <col min="14093" max="14093" width="10.5703125" style="1" customWidth="1"/>
    <col min="14094" max="14094" width="11.140625" style="1" customWidth="1"/>
    <col min="14095" max="14096" width="9.28515625" style="1" customWidth="1"/>
    <col min="14097" max="14336" width="9.140625" style="1"/>
    <col min="14337" max="14337" width="17.42578125" style="1" customWidth="1"/>
    <col min="14338" max="14338" width="10.85546875" style="1" customWidth="1"/>
    <col min="14339" max="14339" width="11.28515625" style="1" customWidth="1"/>
    <col min="14340" max="14341" width="10.42578125" style="1" customWidth="1"/>
    <col min="14342" max="14342" width="10.5703125" style="1" customWidth="1"/>
    <col min="14343" max="14343" width="10.42578125" style="1" customWidth="1"/>
    <col min="14344" max="14344" width="12.28515625" style="1" customWidth="1"/>
    <col min="14345" max="14345" width="20.7109375" style="1" customWidth="1"/>
    <col min="14346" max="14346" width="6" style="1" customWidth="1"/>
    <col min="14347" max="14347" width="7.28515625" style="1" customWidth="1"/>
    <col min="14348" max="14348" width="8.7109375" style="1" customWidth="1"/>
    <col min="14349" max="14349" width="10.5703125" style="1" customWidth="1"/>
    <col min="14350" max="14350" width="11.140625" style="1" customWidth="1"/>
    <col min="14351" max="14352" width="9.28515625" style="1" customWidth="1"/>
    <col min="14353" max="14592" width="9.140625" style="1"/>
    <col min="14593" max="14593" width="17.42578125" style="1" customWidth="1"/>
    <col min="14594" max="14594" width="10.85546875" style="1" customWidth="1"/>
    <col min="14595" max="14595" width="11.28515625" style="1" customWidth="1"/>
    <col min="14596" max="14597" width="10.42578125" style="1" customWidth="1"/>
    <col min="14598" max="14598" width="10.5703125" style="1" customWidth="1"/>
    <col min="14599" max="14599" width="10.42578125" style="1" customWidth="1"/>
    <col min="14600" max="14600" width="12.28515625" style="1" customWidth="1"/>
    <col min="14601" max="14601" width="20.7109375" style="1" customWidth="1"/>
    <col min="14602" max="14602" width="6" style="1" customWidth="1"/>
    <col min="14603" max="14603" width="7.28515625" style="1" customWidth="1"/>
    <col min="14604" max="14604" width="8.7109375" style="1" customWidth="1"/>
    <col min="14605" max="14605" width="10.5703125" style="1" customWidth="1"/>
    <col min="14606" max="14606" width="11.140625" style="1" customWidth="1"/>
    <col min="14607" max="14608" width="9.28515625" style="1" customWidth="1"/>
    <col min="14609" max="14848" width="9.140625" style="1"/>
    <col min="14849" max="14849" width="17.42578125" style="1" customWidth="1"/>
    <col min="14850" max="14850" width="10.85546875" style="1" customWidth="1"/>
    <col min="14851" max="14851" width="11.28515625" style="1" customWidth="1"/>
    <col min="14852" max="14853" width="10.42578125" style="1" customWidth="1"/>
    <col min="14854" max="14854" width="10.5703125" style="1" customWidth="1"/>
    <col min="14855" max="14855" width="10.42578125" style="1" customWidth="1"/>
    <col min="14856" max="14856" width="12.28515625" style="1" customWidth="1"/>
    <col min="14857" max="14857" width="20.7109375" style="1" customWidth="1"/>
    <col min="14858" max="14858" width="6" style="1" customWidth="1"/>
    <col min="14859" max="14859" width="7.28515625" style="1" customWidth="1"/>
    <col min="14860" max="14860" width="8.7109375" style="1" customWidth="1"/>
    <col min="14861" max="14861" width="10.5703125" style="1" customWidth="1"/>
    <col min="14862" max="14862" width="11.140625" style="1" customWidth="1"/>
    <col min="14863" max="14864" width="9.28515625" style="1" customWidth="1"/>
    <col min="14865" max="15104" width="9.140625" style="1"/>
    <col min="15105" max="15105" width="17.42578125" style="1" customWidth="1"/>
    <col min="15106" max="15106" width="10.85546875" style="1" customWidth="1"/>
    <col min="15107" max="15107" width="11.28515625" style="1" customWidth="1"/>
    <col min="15108" max="15109" width="10.42578125" style="1" customWidth="1"/>
    <col min="15110" max="15110" width="10.5703125" style="1" customWidth="1"/>
    <col min="15111" max="15111" width="10.42578125" style="1" customWidth="1"/>
    <col min="15112" max="15112" width="12.28515625" style="1" customWidth="1"/>
    <col min="15113" max="15113" width="20.7109375" style="1" customWidth="1"/>
    <col min="15114" max="15114" width="6" style="1" customWidth="1"/>
    <col min="15115" max="15115" width="7.28515625" style="1" customWidth="1"/>
    <col min="15116" max="15116" width="8.7109375" style="1" customWidth="1"/>
    <col min="15117" max="15117" width="10.5703125" style="1" customWidth="1"/>
    <col min="15118" max="15118" width="11.140625" style="1" customWidth="1"/>
    <col min="15119" max="15120" width="9.28515625" style="1" customWidth="1"/>
    <col min="15121" max="15360" width="9.140625" style="1"/>
    <col min="15361" max="15361" width="17.42578125" style="1" customWidth="1"/>
    <col min="15362" max="15362" width="10.85546875" style="1" customWidth="1"/>
    <col min="15363" max="15363" width="11.28515625" style="1" customWidth="1"/>
    <col min="15364" max="15365" width="10.42578125" style="1" customWidth="1"/>
    <col min="15366" max="15366" width="10.5703125" style="1" customWidth="1"/>
    <col min="15367" max="15367" width="10.42578125" style="1" customWidth="1"/>
    <col min="15368" max="15368" width="12.28515625" style="1" customWidth="1"/>
    <col min="15369" max="15369" width="20.7109375" style="1" customWidth="1"/>
    <col min="15370" max="15370" width="6" style="1" customWidth="1"/>
    <col min="15371" max="15371" width="7.28515625" style="1" customWidth="1"/>
    <col min="15372" max="15372" width="8.7109375" style="1" customWidth="1"/>
    <col min="15373" max="15373" width="10.5703125" style="1" customWidth="1"/>
    <col min="15374" max="15374" width="11.140625" style="1" customWidth="1"/>
    <col min="15375" max="15376" width="9.28515625" style="1" customWidth="1"/>
    <col min="15377" max="15616" width="9.140625" style="1"/>
    <col min="15617" max="15617" width="17.42578125" style="1" customWidth="1"/>
    <col min="15618" max="15618" width="10.85546875" style="1" customWidth="1"/>
    <col min="15619" max="15619" width="11.28515625" style="1" customWidth="1"/>
    <col min="15620" max="15621" width="10.42578125" style="1" customWidth="1"/>
    <col min="15622" max="15622" width="10.5703125" style="1" customWidth="1"/>
    <col min="15623" max="15623" width="10.42578125" style="1" customWidth="1"/>
    <col min="15624" max="15624" width="12.28515625" style="1" customWidth="1"/>
    <col min="15625" max="15625" width="20.7109375" style="1" customWidth="1"/>
    <col min="15626" max="15626" width="6" style="1" customWidth="1"/>
    <col min="15627" max="15627" width="7.28515625" style="1" customWidth="1"/>
    <col min="15628" max="15628" width="8.7109375" style="1" customWidth="1"/>
    <col min="15629" max="15629" width="10.5703125" style="1" customWidth="1"/>
    <col min="15630" max="15630" width="11.140625" style="1" customWidth="1"/>
    <col min="15631" max="15632" width="9.28515625" style="1" customWidth="1"/>
    <col min="15633" max="15872" width="9.140625" style="1"/>
    <col min="15873" max="15873" width="17.42578125" style="1" customWidth="1"/>
    <col min="15874" max="15874" width="10.85546875" style="1" customWidth="1"/>
    <col min="15875" max="15875" width="11.28515625" style="1" customWidth="1"/>
    <col min="15876" max="15877" width="10.42578125" style="1" customWidth="1"/>
    <col min="15878" max="15878" width="10.5703125" style="1" customWidth="1"/>
    <col min="15879" max="15879" width="10.42578125" style="1" customWidth="1"/>
    <col min="15880" max="15880" width="12.28515625" style="1" customWidth="1"/>
    <col min="15881" max="15881" width="20.7109375" style="1" customWidth="1"/>
    <col min="15882" max="15882" width="6" style="1" customWidth="1"/>
    <col min="15883" max="15883" width="7.28515625" style="1" customWidth="1"/>
    <col min="15884" max="15884" width="8.7109375" style="1" customWidth="1"/>
    <col min="15885" max="15885" width="10.5703125" style="1" customWidth="1"/>
    <col min="15886" max="15886" width="11.140625" style="1" customWidth="1"/>
    <col min="15887" max="15888" width="9.28515625" style="1" customWidth="1"/>
    <col min="15889" max="16128" width="9.140625" style="1"/>
    <col min="16129" max="16129" width="17.42578125" style="1" customWidth="1"/>
    <col min="16130" max="16130" width="10.85546875" style="1" customWidth="1"/>
    <col min="16131" max="16131" width="11.28515625" style="1" customWidth="1"/>
    <col min="16132" max="16133" width="10.42578125" style="1" customWidth="1"/>
    <col min="16134" max="16134" width="10.5703125" style="1" customWidth="1"/>
    <col min="16135" max="16135" width="10.42578125" style="1" customWidth="1"/>
    <col min="16136" max="16136" width="12.28515625" style="1" customWidth="1"/>
    <col min="16137" max="16137" width="20.7109375" style="1" customWidth="1"/>
    <col min="16138" max="16138" width="6" style="1" customWidth="1"/>
    <col min="16139" max="16139" width="7.28515625" style="1" customWidth="1"/>
    <col min="16140" max="16140" width="8.7109375" style="1" customWidth="1"/>
    <col min="16141" max="16141" width="10.5703125" style="1" customWidth="1"/>
    <col min="16142" max="16142" width="11.140625" style="1" customWidth="1"/>
    <col min="16143" max="16144" width="9.28515625" style="1" customWidth="1"/>
    <col min="16145" max="16384" width="9.140625" style="1"/>
  </cols>
  <sheetData>
    <row r="1" spans="1:16">
      <c r="L1" s="1" t="s">
        <v>7</v>
      </c>
    </row>
    <row r="2" spans="1:16">
      <c r="L2" s="1" t="s">
        <v>15</v>
      </c>
    </row>
    <row r="3" spans="1:16">
      <c r="L3" s="1" t="s">
        <v>16</v>
      </c>
    </row>
    <row r="4" spans="1:16">
      <c r="L4" s="1" t="s">
        <v>17</v>
      </c>
    </row>
    <row r="5" spans="1:16">
      <c r="L5" s="4" t="s">
        <v>389</v>
      </c>
      <c r="N5" s="4"/>
      <c r="O5" s="4"/>
    </row>
    <row r="8" spans="1:16" s="270" customFormat="1">
      <c r="A8" s="475" t="s">
        <v>388</v>
      </c>
      <c r="B8" s="475"/>
      <c r="C8" s="475"/>
      <c r="D8" s="475"/>
      <c r="E8" s="475"/>
      <c r="F8" s="475"/>
      <c r="G8" s="475"/>
      <c r="H8" s="475"/>
      <c r="I8" s="475"/>
      <c r="J8" s="475"/>
      <c r="K8" s="475"/>
      <c r="L8" s="475"/>
      <c r="M8" s="475"/>
      <c r="N8" s="475"/>
      <c r="O8" s="475"/>
      <c r="P8" s="475"/>
    </row>
    <row r="9" spans="1:16">
      <c r="A9" s="401" t="s">
        <v>308</v>
      </c>
      <c r="B9" s="401"/>
      <c r="C9" s="401"/>
      <c r="D9" s="401"/>
      <c r="E9" s="401"/>
      <c r="F9" s="401"/>
      <c r="G9" s="401"/>
      <c r="H9" s="401"/>
      <c r="I9" s="401"/>
      <c r="J9" s="401"/>
      <c r="K9" s="401"/>
      <c r="L9" s="401"/>
      <c r="M9" s="401"/>
      <c r="N9" s="401"/>
      <c r="O9" s="401"/>
      <c r="P9" s="401"/>
    </row>
    <row r="10" spans="1:16">
      <c r="A10" s="355"/>
      <c r="B10" s="355"/>
      <c r="C10" s="355"/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436" t="s">
        <v>6</v>
      </c>
      <c r="P10" s="436"/>
    </row>
    <row r="11" spans="1:16">
      <c r="M11" s="478" t="s">
        <v>4</v>
      </c>
      <c r="N11" s="479"/>
      <c r="O11" s="477" t="s">
        <v>5</v>
      </c>
      <c r="P11" s="477"/>
    </row>
    <row r="12" spans="1:16">
      <c r="M12" s="478" t="s">
        <v>342</v>
      </c>
      <c r="N12" s="479"/>
      <c r="O12" s="476">
        <v>43371</v>
      </c>
      <c r="P12" s="436"/>
    </row>
    <row r="13" spans="1:16" ht="16.5">
      <c r="A13" s="1" t="s">
        <v>0</v>
      </c>
      <c r="M13" s="478" t="s">
        <v>343</v>
      </c>
      <c r="N13" s="479"/>
      <c r="O13" s="428"/>
      <c r="P13" s="429"/>
    </row>
    <row r="14" spans="1:16" ht="31.15" customHeight="1">
      <c r="A14" s="483" t="s">
        <v>335</v>
      </c>
      <c r="B14" s="483"/>
      <c r="C14" s="483"/>
      <c r="D14" s="483"/>
      <c r="E14" s="483"/>
      <c r="F14" s="483"/>
      <c r="G14" s="483"/>
      <c r="H14" s="483"/>
      <c r="I14" s="483"/>
      <c r="J14" s="483"/>
      <c r="K14" s="483"/>
      <c r="L14" s="483"/>
      <c r="M14" s="481" t="s">
        <v>309</v>
      </c>
      <c r="N14" s="482"/>
      <c r="O14" s="428"/>
      <c r="P14" s="429"/>
    </row>
    <row r="15" spans="1:16">
      <c r="A15" s="2" t="s">
        <v>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3"/>
      <c r="N15" s="3" t="s">
        <v>3</v>
      </c>
      <c r="O15" s="480" t="s">
        <v>286</v>
      </c>
      <c r="P15" s="480"/>
    </row>
    <row r="16" spans="1:16">
      <c r="A16" s="453" t="s">
        <v>73</v>
      </c>
      <c r="B16" s="453"/>
      <c r="C16" s="453"/>
      <c r="D16" s="453"/>
      <c r="E16" s="453"/>
      <c r="F16" s="453"/>
      <c r="G16" s="453"/>
      <c r="H16" s="453"/>
      <c r="I16" s="453"/>
      <c r="J16" s="453"/>
      <c r="K16" s="453"/>
      <c r="L16" s="453"/>
      <c r="M16" s="3"/>
      <c r="N16" s="3" t="s">
        <v>3</v>
      </c>
      <c r="O16" s="480"/>
      <c r="P16" s="480"/>
    </row>
    <row r="17" spans="1:16">
      <c r="A17" s="387"/>
      <c r="B17" s="387"/>
      <c r="C17" s="387"/>
      <c r="D17" s="387"/>
      <c r="E17" s="387"/>
      <c r="F17" s="387"/>
      <c r="G17" s="387"/>
      <c r="H17" s="387"/>
      <c r="I17" s="387"/>
      <c r="J17" s="387"/>
      <c r="K17" s="387"/>
      <c r="L17" s="387"/>
      <c r="M17" s="3"/>
      <c r="N17" s="3" t="s">
        <v>3</v>
      </c>
      <c r="O17" s="480"/>
      <c r="P17" s="480"/>
    </row>
    <row r="18" spans="1:16">
      <c r="A18" s="1" t="s">
        <v>2</v>
      </c>
      <c r="O18" s="436"/>
      <c r="P18" s="436"/>
    </row>
    <row r="19" spans="1:16">
      <c r="A19" s="453" t="s">
        <v>72</v>
      </c>
      <c r="B19" s="453"/>
      <c r="C19" s="453"/>
      <c r="D19" s="453"/>
      <c r="E19" s="453"/>
      <c r="F19" s="453"/>
      <c r="G19" s="453"/>
      <c r="H19" s="453"/>
      <c r="I19" s="453"/>
      <c r="J19" s="453"/>
      <c r="K19" s="453"/>
      <c r="L19" s="453"/>
      <c r="O19" s="436"/>
      <c r="P19" s="436"/>
    </row>
    <row r="20" spans="1:16">
      <c r="A20" s="473" t="s">
        <v>319</v>
      </c>
      <c r="B20" s="473"/>
      <c r="C20" s="473"/>
      <c r="D20" s="473"/>
      <c r="E20" s="473"/>
      <c r="F20" s="473"/>
      <c r="G20" s="473"/>
      <c r="H20" s="473"/>
      <c r="I20" s="473"/>
      <c r="J20" s="473"/>
      <c r="K20" s="19"/>
      <c r="L20" s="19"/>
    </row>
    <row r="23" spans="1:16">
      <c r="A23" s="401" t="s">
        <v>344</v>
      </c>
      <c r="B23" s="401"/>
      <c r="C23" s="401"/>
      <c r="D23" s="401"/>
      <c r="E23" s="401"/>
      <c r="F23" s="401"/>
      <c r="G23" s="401"/>
      <c r="H23" s="401"/>
      <c r="I23" s="401"/>
      <c r="J23" s="401"/>
      <c r="K23" s="401"/>
      <c r="L23" s="401"/>
      <c r="M23" s="401"/>
      <c r="N23" s="401"/>
      <c r="O23" s="401"/>
      <c r="P23" s="401"/>
    </row>
    <row r="24" spans="1:16">
      <c r="A24" s="401" t="s">
        <v>87</v>
      </c>
      <c r="B24" s="401"/>
      <c r="C24" s="401"/>
      <c r="D24" s="401"/>
      <c r="E24" s="401"/>
      <c r="F24" s="401"/>
      <c r="G24" s="401"/>
      <c r="H24" s="401"/>
      <c r="I24" s="401"/>
      <c r="J24" s="401"/>
      <c r="K24" s="401"/>
      <c r="L24" s="401"/>
      <c r="M24" s="401"/>
      <c r="N24" s="401"/>
      <c r="O24" s="401"/>
      <c r="P24" s="401"/>
    </row>
    <row r="26" spans="1:16" ht="15" customHeight="1">
      <c r="A26" s="1" t="s">
        <v>9</v>
      </c>
      <c r="E26" s="453" t="s">
        <v>74</v>
      </c>
      <c r="F26" s="453"/>
      <c r="G26" s="453"/>
      <c r="H26" s="453"/>
      <c r="I26" s="453"/>
      <c r="J26" s="453"/>
      <c r="K26" s="453"/>
      <c r="L26" s="453"/>
      <c r="M26" s="469" t="s">
        <v>313</v>
      </c>
      <c r="N26" s="470"/>
      <c r="O26" s="397"/>
      <c r="P26" s="397"/>
    </row>
    <row r="27" spans="1:16">
      <c r="A27" s="453" t="s">
        <v>75</v>
      </c>
      <c r="B27" s="453"/>
      <c r="C27" s="453"/>
      <c r="D27" s="453"/>
      <c r="E27" s="453"/>
      <c r="F27" s="453"/>
      <c r="G27" s="453"/>
      <c r="H27" s="453"/>
      <c r="I27" s="453"/>
      <c r="J27" s="453"/>
      <c r="K27" s="453"/>
      <c r="L27" s="453"/>
      <c r="M27" s="469"/>
      <c r="N27" s="470"/>
      <c r="O27" s="397"/>
      <c r="P27" s="397"/>
    </row>
    <row r="28" spans="1:16" ht="25.5" customHeight="1">
      <c r="A28" s="1" t="s">
        <v>10</v>
      </c>
      <c r="M28" s="469"/>
      <c r="N28" s="470"/>
      <c r="O28" s="397"/>
      <c r="P28" s="397"/>
    </row>
    <row r="29" spans="1:16">
      <c r="A29" s="453" t="s">
        <v>76</v>
      </c>
      <c r="B29" s="453"/>
      <c r="C29" s="453"/>
      <c r="D29" s="453"/>
      <c r="E29" s="453"/>
      <c r="F29" s="453"/>
      <c r="G29" s="453"/>
      <c r="H29" s="453"/>
      <c r="I29" s="453"/>
      <c r="J29" s="453"/>
      <c r="K29" s="453"/>
      <c r="L29" s="453"/>
      <c r="M29" s="453"/>
      <c r="N29" s="453"/>
    </row>
    <row r="30" spans="1:16">
      <c r="A30" s="387"/>
      <c r="B30" s="387"/>
      <c r="C30" s="387"/>
      <c r="D30" s="387"/>
      <c r="E30" s="387"/>
      <c r="F30" s="387"/>
      <c r="G30" s="387"/>
      <c r="H30" s="387"/>
      <c r="I30" s="387"/>
      <c r="J30" s="387"/>
      <c r="K30" s="387"/>
      <c r="L30" s="387"/>
      <c r="M30" s="387"/>
      <c r="N30" s="387"/>
    </row>
    <row r="31" spans="1:16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</row>
    <row r="32" spans="1:16">
      <c r="A32" s="1" t="s">
        <v>14</v>
      </c>
    </row>
    <row r="34" spans="1:18">
      <c r="A34" s="1" t="s">
        <v>345</v>
      </c>
    </row>
    <row r="36" spans="1:18" s="20" customFormat="1" ht="68.25" customHeight="1">
      <c r="A36" s="440" t="s">
        <v>346</v>
      </c>
      <c r="B36" s="440"/>
      <c r="C36" s="448" t="s">
        <v>303</v>
      </c>
      <c r="D36" s="449"/>
      <c r="E36" s="450"/>
      <c r="F36" s="440" t="s">
        <v>304</v>
      </c>
      <c r="G36" s="440"/>
      <c r="H36" s="440" t="s">
        <v>21</v>
      </c>
      <c r="I36" s="440"/>
      <c r="J36" s="440"/>
      <c r="K36" s="440"/>
      <c r="L36" s="440"/>
      <c r="M36" s="440" t="s">
        <v>22</v>
      </c>
      <c r="N36" s="440"/>
      <c r="O36" s="440"/>
      <c r="P36" s="440"/>
      <c r="Q36" s="439" t="s">
        <v>347</v>
      </c>
      <c r="R36" s="439"/>
    </row>
    <row r="37" spans="1:18" s="20" customFormat="1" ht="24.75" customHeight="1">
      <c r="A37" s="440"/>
      <c r="B37" s="440"/>
      <c r="C37" s="440" t="s">
        <v>348</v>
      </c>
      <c r="D37" s="440" t="s">
        <v>348</v>
      </c>
      <c r="E37" s="440" t="s">
        <v>348</v>
      </c>
      <c r="F37" s="440" t="s">
        <v>348</v>
      </c>
      <c r="G37" s="440" t="s">
        <v>348</v>
      </c>
      <c r="H37" s="440" t="s">
        <v>349</v>
      </c>
      <c r="I37" s="440"/>
      <c r="J37" s="440" t="s">
        <v>305</v>
      </c>
      <c r="K37" s="440"/>
      <c r="L37" s="440"/>
      <c r="M37" s="454" t="s">
        <v>310</v>
      </c>
      <c r="N37" s="454" t="s">
        <v>311</v>
      </c>
      <c r="O37" s="456" t="s">
        <v>312</v>
      </c>
      <c r="P37" s="457"/>
      <c r="Q37" s="439" t="s">
        <v>314</v>
      </c>
      <c r="R37" s="443" t="s">
        <v>315</v>
      </c>
    </row>
    <row r="38" spans="1:18" s="20" customFormat="1" ht="26.25" customHeight="1">
      <c r="A38" s="440"/>
      <c r="B38" s="440"/>
      <c r="C38" s="440"/>
      <c r="D38" s="440"/>
      <c r="E38" s="440"/>
      <c r="F38" s="440"/>
      <c r="G38" s="440"/>
      <c r="H38" s="440"/>
      <c r="I38" s="440"/>
      <c r="J38" s="451" t="s">
        <v>350</v>
      </c>
      <c r="K38" s="452"/>
      <c r="L38" s="350" t="s">
        <v>351</v>
      </c>
      <c r="M38" s="455"/>
      <c r="N38" s="455"/>
      <c r="O38" s="458"/>
      <c r="P38" s="459"/>
      <c r="Q38" s="439"/>
      <c r="R38" s="444"/>
    </row>
    <row r="39" spans="1:18" s="20" customFormat="1" ht="11.25">
      <c r="A39" s="433">
        <v>1</v>
      </c>
      <c r="B39" s="433"/>
      <c r="C39" s="356">
        <v>2</v>
      </c>
      <c r="D39" s="356">
        <v>3</v>
      </c>
      <c r="E39" s="356">
        <v>4</v>
      </c>
      <c r="F39" s="356">
        <v>5</v>
      </c>
      <c r="G39" s="356">
        <v>6</v>
      </c>
      <c r="H39" s="433">
        <v>7</v>
      </c>
      <c r="I39" s="433"/>
      <c r="J39" s="451">
        <v>8</v>
      </c>
      <c r="K39" s="452"/>
      <c r="L39" s="356">
        <v>9</v>
      </c>
      <c r="M39" s="356">
        <v>10</v>
      </c>
      <c r="N39" s="356">
        <v>11</v>
      </c>
      <c r="O39" s="433">
        <v>12</v>
      </c>
      <c r="P39" s="433"/>
      <c r="Q39" s="22">
        <v>13</v>
      </c>
      <c r="R39" s="360">
        <v>14</v>
      </c>
    </row>
    <row r="40" spans="1:18" s="20" customFormat="1" ht="120.75" customHeight="1">
      <c r="A40" s="434"/>
      <c r="B40" s="435"/>
      <c r="C40" s="21" t="s">
        <v>77</v>
      </c>
      <c r="D40" s="21" t="s">
        <v>77</v>
      </c>
      <c r="E40" s="21" t="s">
        <v>78</v>
      </c>
      <c r="F40" s="21" t="s">
        <v>79</v>
      </c>
      <c r="G40" s="21" t="s">
        <v>281</v>
      </c>
      <c r="H40" s="445" t="s">
        <v>81</v>
      </c>
      <c r="I40" s="446"/>
      <c r="J40" s="447" t="s">
        <v>83</v>
      </c>
      <c r="K40" s="435"/>
      <c r="L40" s="21" t="s">
        <v>84</v>
      </c>
      <c r="M40" s="21"/>
      <c r="N40" s="21"/>
      <c r="O40" s="474"/>
      <c r="P40" s="474"/>
      <c r="Q40" s="311"/>
      <c r="R40" s="311"/>
    </row>
    <row r="41" spans="1:18" s="20" customFormat="1" ht="120" customHeight="1">
      <c r="A41" s="434"/>
      <c r="B41" s="435"/>
      <c r="C41" s="21" t="s">
        <v>77</v>
      </c>
      <c r="D41" s="21" t="s">
        <v>77</v>
      </c>
      <c r="E41" s="21" t="s">
        <v>80</v>
      </c>
      <c r="F41" s="21" t="s">
        <v>79</v>
      </c>
      <c r="G41" s="21" t="s">
        <v>281</v>
      </c>
      <c r="H41" s="445" t="s">
        <v>82</v>
      </c>
      <c r="I41" s="446"/>
      <c r="J41" s="447" t="s">
        <v>83</v>
      </c>
      <c r="K41" s="435"/>
      <c r="L41" s="21" t="s">
        <v>84</v>
      </c>
      <c r="M41" s="21"/>
      <c r="N41" s="21"/>
      <c r="O41" s="474"/>
      <c r="P41" s="474"/>
      <c r="Q41" s="311"/>
      <c r="R41" s="311"/>
    </row>
    <row r="43" spans="1:18" s="2" customFormat="1"/>
    <row r="44" spans="1:18" s="2" customFormat="1">
      <c r="D44" s="4"/>
    </row>
    <row r="45" spans="1:18" s="2" customFormat="1">
      <c r="D45" s="4"/>
    </row>
    <row r="46" spans="1:18">
      <c r="A46" s="1" t="s">
        <v>37</v>
      </c>
    </row>
    <row r="48" spans="1:18" s="20" customFormat="1" ht="69" customHeight="1">
      <c r="A48" s="440" t="s">
        <v>19</v>
      </c>
      <c r="B48" s="440"/>
      <c r="C48" s="448" t="s">
        <v>303</v>
      </c>
      <c r="D48" s="449"/>
      <c r="E48" s="450"/>
      <c r="F48" s="440" t="s">
        <v>304</v>
      </c>
      <c r="G48" s="440"/>
      <c r="H48" s="439" t="s">
        <v>31</v>
      </c>
      <c r="I48" s="439"/>
      <c r="J48" s="439"/>
      <c r="K48" s="439" t="s">
        <v>32</v>
      </c>
      <c r="L48" s="439"/>
      <c r="M48" s="439"/>
      <c r="N48" s="423" t="s">
        <v>352</v>
      </c>
      <c r="O48" s="423"/>
      <c r="P48" s="424"/>
      <c r="Q48" s="439" t="s">
        <v>353</v>
      </c>
      <c r="R48" s="439"/>
    </row>
    <row r="49" spans="1:18" s="20" customFormat="1" ht="42" customHeight="1">
      <c r="A49" s="440"/>
      <c r="B49" s="440"/>
      <c r="C49" s="440" t="s">
        <v>348</v>
      </c>
      <c r="D49" s="440" t="s">
        <v>348</v>
      </c>
      <c r="E49" s="440" t="s">
        <v>348</v>
      </c>
      <c r="F49" s="440" t="s">
        <v>348</v>
      </c>
      <c r="G49" s="440" t="s">
        <v>348</v>
      </c>
      <c r="H49" s="439" t="s">
        <v>354</v>
      </c>
      <c r="I49" s="439" t="s">
        <v>355</v>
      </c>
      <c r="J49" s="439"/>
      <c r="K49" s="441" t="s">
        <v>310</v>
      </c>
      <c r="L49" s="441" t="s">
        <v>311</v>
      </c>
      <c r="M49" s="441" t="s">
        <v>312</v>
      </c>
      <c r="N49" s="441" t="s">
        <v>310</v>
      </c>
      <c r="O49" s="441" t="s">
        <v>311</v>
      </c>
      <c r="P49" s="441" t="s">
        <v>312</v>
      </c>
      <c r="Q49" s="439" t="s">
        <v>314</v>
      </c>
      <c r="R49" s="443" t="s">
        <v>315</v>
      </c>
    </row>
    <row r="50" spans="1:18" s="20" customFormat="1" ht="34.5" customHeight="1">
      <c r="A50" s="440"/>
      <c r="B50" s="440"/>
      <c r="C50" s="440"/>
      <c r="D50" s="440"/>
      <c r="E50" s="440"/>
      <c r="F50" s="440"/>
      <c r="G50" s="440"/>
      <c r="H50" s="439"/>
      <c r="I50" s="349" t="s">
        <v>356</v>
      </c>
      <c r="J50" s="349" t="s">
        <v>357</v>
      </c>
      <c r="K50" s="442"/>
      <c r="L50" s="442"/>
      <c r="M50" s="442"/>
      <c r="N50" s="442"/>
      <c r="O50" s="442"/>
      <c r="P50" s="442"/>
      <c r="Q50" s="439"/>
      <c r="R50" s="444"/>
    </row>
    <row r="51" spans="1:18" s="20" customFormat="1" ht="11.25">
      <c r="A51" s="433">
        <v>1</v>
      </c>
      <c r="B51" s="433"/>
      <c r="C51" s="356">
        <v>2</v>
      </c>
      <c r="D51" s="356">
        <v>3</v>
      </c>
      <c r="E51" s="356">
        <v>4</v>
      </c>
      <c r="F51" s="356">
        <v>5</v>
      </c>
      <c r="G51" s="356">
        <v>6</v>
      </c>
      <c r="H51" s="22">
        <v>7</v>
      </c>
      <c r="I51" s="22">
        <v>8</v>
      </c>
      <c r="J51" s="22">
        <v>9</v>
      </c>
      <c r="K51" s="22">
        <v>10</v>
      </c>
      <c r="L51" s="22">
        <v>11</v>
      </c>
      <c r="M51" s="22">
        <v>12</v>
      </c>
      <c r="N51" s="22">
        <v>13</v>
      </c>
      <c r="O51" s="22">
        <v>14</v>
      </c>
      <c r="P51" s="22">
        <v>15</v>
      </c>
      <c r="Q51" s="22">
        <v>16</v>
      </c>
      <c r="R51" s="360">
        <v>17</v>
      </c>
    </row>
    <row r="52" spans="1:18" s="20" customFormat="1" ht="22.5">
      <c r="A52" s="471"/>
      <c r="B52" s="472"/>
      <c r="C52" s="21" t="s">
        <v>77</v>
      </c>
      <c r="D52" s="21" t="s">
        <v>77</v>
      </c>
      <c r="E52" s="21" t="s">
        <v>78</v>
      </c>
      <c r="F52" s="21" t="s">
        <v>79</v>
      </c>
      <c r="G52" s="21" t="s">
        <v>281</v>
      </c>
      <c r="H52" s="23" t="s">
        <v>85</v>
      </c>
      <c r="I52" s="23" t="s">
        <v>86</v>
      </c>
      <c r="J52" s="23">
        <v>792</v>
      </c>
      <c r="K52" s="24">
        <f>'проверка 2018'!I12</f>
        <v>87</v>
      </c>
      <c r="L52" s="24">
        <f>'проверка 2019 '!I12</f>
        <v>87</v>
      </c>
      <c r="M52" s="24">
        <f>'проверка 2020'!I12</f>
        <v>87</v>
      </c>
      <c r="N52" s="44"/>
      <c r="O52" s="267"/>
      <c r="P52" s="44"/>
      <c r="Q52" s="311"/>
      <c r="R52" s="311"/>
    </row>
    <row r="53" spans="1:18" s="20" customFormat="1" ht="22.5">
      <c r="A53" s="471"/>
      <c r="B53" s="472"/>
      <c r="C53" s="21" t="s">
        <v>77</v>
      </c>
      <c r="D53" s="21" t="s">
        <v>77</v>
      </c>
      <c r="E53" s="21" t="s">
        <v>80</v>
      </c>
      <c r="F53" s="21" t="s">
        <v>79</v>
      </c>
      <c r="G53" s="21" t="s">
        <v>281</v>
      </c>
      <c r="H53" s="23" t="s">
        <v>85</v>
      </c>
      <c r="I53" s="23" t="s">
        <v>86</v>
      </c>
      <c r="J53" s="23">
        <v>792</v>
      </c>
      <c r="K53" s="24">
        <f>'проверка 2018'!J12</f>
        <v>543</v>
      </c>
      <c r="L53" s="24">
        <f>'проверка 2019 '!J12</f>
        <v>543</v>
      </c>
      <c r="M53" s="24">
        <f>'проверка 2020'!J12</f>
        <v>543</v>
      </c>
      <c r="N53" s="44"/>
      <c r="O53" s="267"/>
      <c r="P53" s="44"/>
      <c r="Q53" s="311"/>
      <c r="R53" s="311"/>
    </row>
    <row r="55" spans="1:18" s="2" customFormat="1" hidden="1"/>
    <row r="56" spans="1:18" s="2" customFormat="1" hidden="1">
      <c r="D56" s="4"/>
    </row>
    <row r="57" spans="1:18" hidden="1">
      <c r="D57" s="4"/>
    </row>
    <row r="58" spans="1:18" hidden="1">
      <c r="A58" s="8"/>
    </row>
    <row r="59" spans="1:18" hidden="1"/>
    <row r="60" spans="1:18" hidden="1"/>
    <row r="61" spans="1:18" hidden="1"/>
    <row r="63" spans="1:18">
      <c r="A63" s="1" t="s">
        <v>38</v>
      </c>
    </row>
    <row r="65" spans="1:19">
      <c r="A65" s="436" t="s">
        <v>43</v>
      </c>
      <c r="B65" s="436"/>
      <c r="C65" s="436"/>
      <c r="D65" s="436"/>
      <c r="E65" s="436"/>
      <c r="F65" s="436"/>
      <c r="G65" s="436"/>
      <c r="H65" s="436"/>
      <c r="I65" s="436"/>
      <c r="J65" s="436"/>
      <c r="K65" s="436"/>
      <c r="L65" s="436"/>
      <c r="M65" s="436"/>
    </row>
    <row r="66" spans="1:19">
      <c r="A66" s="351" t="s">
        <v>39</v>
      </c>
      <c r="B66" s="436" t="s">
        <v>40</v>
      </c>
      <c r="C66" s="436"/>
      <c r="D66" s="436"/>
      <c r="E66" s="351" t="s">
        <v>41</v>
      </c>
      <c r="F66" s="351" t="s">
        <v>42</v>
      </c>
      <c r="G66" s="436" t="s">
        <v>25</v>
      </c>
      <c r="H66" s="436"/>
      <c r="I66" s="436"/>
      <c r="J66" s="436"/>
      <c r="K66" s="436"/>
      <c r="L66" s="436"/>
      <c r="M66" s="436"/>
    </row>
    <row r="67" spans="1:19">
      <c r="A67" s="352">
        <v>1</v>
      </c>
      <c r="B67" s="437">
        <v>2</v>
      </c>
      <c r="C67" s="437"/>
      <c r="D67" s="437"/>
      <c r="E67" s="352">
        <v>3</v>
      </c>
      <c r="F67" s="352">
        <v>4</v>
      </c>
      <c r="G67" s="437">
        <v>5</v>
      </c>
      <c r="H67" s="437"/>
      <c r="I67" s="437"/>
      <c r="J67" s="437"/>
      <c r="K67" s="437"/>
      <c r="L67" s="437"/>
      <c r="M67" s="437"/>
      <c r="N67" s="2"/>
      <c r="O67" s="2"/>
      <c r="P67" s="2"/>
      <c r="Q67" s="2"/>
    </row>
    <row r="68" spans="1:19" ht="47.25" customHeight="1">
      <c r="A68" s="361" t="s">
        <v>282</v>
      </c>
      <c r="B68" s="485" t="s">
        <v>283</v>
      </c>
      <c r="C68" s="485"/>
      <c r="D68" s="485"/>
      <c r="E68" s="268">
        <v>42727</v>
      </c>
      <c r="F68" s="362" t="s">
        <v>284</v>
      </c>
      <c r="G68" s="485" t="s">
        <v>285</v>
      </c>
      <c r="H68" s="485"/>
      <c r="I68" s="485"/>
      <c r="J68" s="485"/>
      <c r="K68" s="485"/>
      <c r="L68" s="485"/>
      <c r="M68" s="485"/>
      <c r="N68" s="363"/>
      <c r="O68" s="363"/>
      <c r="P68" s="363"/>
      <c r="Q68" s="2"/>
      <c r="R68" s="2"/>
      <c r="S68" s="2"/>
    </row>
    <row r="69" spans="1:19" hidden="1">
      <c r="A69" s="5"/>
      <c r="B69" s="436"/>
      <c r="C69" s="436"/>
      <c r="D69" s="436"/>
      <c r="E69" s="5"/>
      <c r="F69" s="5"/>
      <c r="G69" s="436"/>
      <c r="H69" s="436"/>
      <c r="I69" s="436"/>
      <c r="J69" s="436"/>
      <c r="K69" s="436"/>
      <c r="L69" s="436"/>
      <c r="M69" s="436"/>
      <c r="N69" s="2"/>
      <c r="O69" s="2"/>
      <c r="P69" s="2"/>
      <c r="Q69" s="2"/>
    </row>
    <row r="72" spans="1:19">
      <c r="A72" s="1" t="s">
        <v>44</v>
      </c>
    </row>
    <row r="74" spans="1:19">
      <c r="A74" s="1" t="s">
        <v>45</v>
      </c>
    </row>
    <row r="75" spans="1:19" ht="13.5" customHeight="1">
      <c r="A75" s="432" t="s">
        <v>358</v>
      </c>
      <c r="B75" s="432"/>
      <c r="C75" s="432"/>
      <c r="D75" s="432"/>
      <c r="E75" s="432"/>
      <c r="F75" s="432"/>
      <c r="G75" s="432"/>
      <c r="H75" s="432"/>
      <c r="I75" s="432"/>
      <c r="J75" s="432"/>
      <c r="K75" s="432"/>
      <c r="L75" s="432"/>
      <c r="M75" s="432"/>
      <c r="N75" s="432"/>
      <c r="O75" s="432"/>
      <c r="P75" s="432"/>
    </row>
    <row r="76" spans="1:19" ht="17.25" customHeight="1">
      <c r="A76" s="432" t="s">
        <v>359</v>
      </c>
      <c r="B76" s="432"/>
      <c r="C76" s="432"/>
      <c r="D76" s="432"/>
      <c r="E76" s="432"/>
      <c r="F76" s="432"/>
      <c r="G76" s="432"/>
      <c r="H76" s="432"/>
      <c r="I76" s="432"/>
      <c r="J76" s="432"/>
      <c r="K76" s="432"/>
      <c r="L76" s="432"/>
      <c r="M76" s="432"/>
      <c r="N76" s="364"/>
      <c r="O76" s="364"/>
      <c r="P76" s="364"/>
    </row>
    <row r="77" spans="1:19" ht="33.75" customHeight="1">
      <c r="A77" s="432" t="s">
        <v>360</v>
      </c>
      <c r="B77" s="432"/>
      <c r="C77" s="432"/>
      <c r="D77" s="432"/>
      <c r="E77" s="432"/>
      <c r="F77" s="432"/>
      <c r="G77" s="432"/>
      <c r="H77" s="432"/>
      <c r="I77" s="432"/>
      <c r="J77" s="432"/>
      <c r="K77" s="432"/>
      <c r="L77" s="432"/>
      <c r="M77" s="432"/>
      <c r="N77" s="364"/>
      <c r="O77" s="364"/>
      <c r="P77" s="364"/>
    </row>
    <row r="78" spans="1:19" ht="33.75" customHeight="1">
      <c r="A78" s="432" t="s">
        <v>361</v>
      </c>
      <c r="B78" s="432"/>
      <c r="C78" s="432"/>
      <c r="D78" s="432"/>
      <c r="E78" s="432"/>
      <c r="F78" s="432"/>
      <c r="G78" s="432"/>
      <c r="H78" s="432"/>
      <c r="I78" s="432"/>
      <c r="J78" s="432"/>
      <c r="K78" s="432"/>
      <c r="L78" s="432"/>
      <c r="M78" s="432"/>
      <c r="N78" s="364"/>
      <c r="O78" s="364"/>
      <c r="P78" s="364"/>
    </row>
    <row r="79" spans="1:19" ht="45.75" customHeight="1">
      <c r="A79" s="432" t="s">
        <v>362</v>
      </c>
      <c r="B79" s="432"/>
      <c r="C79" s="432"/>
      <c r="D79" s="432"/>
      <c r="E79" s="432"/>
      <c r="F79" s="432"/>
      <c r="G79" s="432"/>
      <c r="H79" s="432"/>
      <c r="I79" s="432"/>
      <c r="J79" s="432"/>
      <c r="K79" s="432"/>
      <c r="L79" s="432"/>
      <c r="M79" s="432"/>
      <c r="N79" s="364"/>
      <c r="O79" s="364"/>
      <c r="P79" s="364"/>
    </row>
    <row r="80" spans="1:19" ht="13.5" customHeight="1">
      <c r="A80" s="364"/>
      <c r="B80" s="364"/>
      <c r="C80" s="364"/>
      <c r="D80" s="364"/>
      <c r="E80" s="364"/>
      <c r="F80" s="364"/>
      <c r="G80" s="364"/>
      <c r="H80" s="364"/>
      <c r="I80" s="364"/>
      <c r="J80" s="364"/>
      <c r="K80" s="364"/>
      <c r="L80" s="364"/>
      <c r="M80" s="364"/>
      <c r="N80" s="364"/>
      <c r="O80" s="364"/>
      <c r="P80" s="364"/>
    </row>
    <row r="81" spans="1:16">
      <c r="A81" s="484" t="s">
        <v>46</v>
      </c>
      <c r="B81" s="484"/>
      <c r="C81" s="484"/>
      <c r="D81" s="484"/>
      <c r="E81" s="484"/>
      <c r="F81" s="484"/>
      <c r="G81" s="484"/>
      <c r="H81" s="484"/>
      <c r="I81" s="484"/>
      <c r="J81" s="484"/>
      <c r="K81" s="484"/>
      <c r="L81" s="484"/>
    </row>
    <row r="84" spans="1:16">
      <c r="A84" s="1" t="s">
        <v>306</v>
      </c>
    </row>
    <row r="86" spans="1:16">
      <c r="A86" s="436" t="s">
        <v>47</v>
      </c>
      <c r="B86" s="436"/>
      <c r="C86" s="436"/>
      <c r="D86" s="436" t="s">
        <v>48</v>
      </c>
      <c r="E86" s="436"/>
      <c r="F86" s="436"/>
      <c r="G86" s="436"/>
      <c r="H86" s="436" t="s">
        <v>49</v>
      </c>
      <c r="I86" s="436"/>
      <c r="J86" s="436"/>
      <c r="K86" s="436"/>
    </row>
    <row r="87" spans="1:16">
      <c r="A87" s="437">
        <v>1</v>
      </c>
      <c r="B87" s="437"/>
      <c r="C87" s="437"/>
      <c r="D87" s="437">
        <v>2</v>
      </c>
      <c r="E87" s="437"/>
      <c r="F87" s="437"/>
      <c r="G87" s="437"/>
      <c r="H87" s="437">
        <v>3</v>
      </c>
      <c r="I87" s="437"/>
      <c r="J87" s="437"/>
      <c r="K87" s="437"/>
    </row>
    <row r="88" spans="1:16" ht="327.75" customHeight="1">
      <c r="A88" s="460" t="s">
        <v>268</v>
      </c>
      <c r="B88" s="461"/>
      <c r="C88" s="462"/>
      <c r="D88" s="463" t="s">
        <v>363</v>
      </c>
      <c r="E88" s="464"/>
      <c r="F88" s="464"/>
      <c r="G88" s="465"/>
      <c r="H88" s="466" t="s">
        <v>364</v>
      </c>
      <c r="I88" s="467"/>
      <c r="J88" s="467"/>
      <c r="K88" s="468"/>
    </row>
    <row r="89" spans="1:16" hidden="1">
      <c r="A89" s="428"/>
      <c r="B89" s="387"/>
      <c r="C89" s="429"/>
      <c r="D89" s="428"/>
      <c r="E89" s="387"/>
      <c r="F89" s="387"/>
      <c r="G89" s="429"/>
      <c r="H89" s="428"/>
      <c r="I89" s="387"/>
      <c r="J89" s="387"/>
      <c r="K89" s="429"/>
    </row>
    <row r="91" spans="1:16">
      <c r="A91" s="401" t="s">
        <v>88</v>
      </c>
      <c r="B91" s="401"/>
      <c r="C91" s="401"/>
      <c r="D91" s="401"/>
      <c r="E91" s="401"/>
      <c r="F91" s="401"/>
      <c r="G91" s="401"/>
      <c r="H91" s="401"/>
      <c r="I91" s="401"/>
      <c r="J91" s="401"/>
      <c r="K91" s="401"/>
      <c r="L91" s="401"/>
      <c r="M91" s="401"/>
      <c r="N91" s="401"/>
      <c r="O91" s="401"/>
      <c r="P91" s="401"/>
    </row>
    <row r="93" spans="1:16">
      <c r="A93" s="1" t="s">
        <v>9</v>
      </c>
      <c r="E93" s="453" t="s">
        <v>89</v>
      </c>
      <c r="F93" s="453"/>
      <c r="G93" s="453"/>
      <c r="H93" s="453"/>
      <c r="I93" s="453"/>
      <c r="J93" s="453"/>
      <c r="K93" s="453"/>
      <c r="L93" s="453"/>
      <c r="M93" s="469" t="s">
        <v>313</v>
      </c>
      <c r="N93" s="470"/>
      <c r="O93" s="397"/>
      <c r="P93" s="397"/>
    </row>
    <row r="94" spans="1:16">
      <c r="A94" s="384"/>
      <c r="B94" s="384"/>
      <c r="C94" s="384"/>
      <c r="D94" s="384"/>
      <c r="E94" s="384"/>
      <c r="F94" s="384"/>
      <c r="G94" s="384"/>
      <c r="H94" s="384"/>
      <c r="I94" s="384"/>
      <c r="J94" s="384"/>
      <c r="K94" s="384"/>
      <c r="L94" s="384"/>
      <c r="M94" s="469"/>
      <c r="N94" s="470"/>
      <c r="O94" s="397"/>
      <c r="P94" s="397"/>
    </row>
    <row r="95" spans="1:16" ht="27" customHeight="1">
      <c r="A95" s="1" t="s">
        <v>10</v>
      </c>
      <c r="M95" s="469"/>
      <c r="N95" s="470"/>
      <c r="O95" s="397"/>
      <c r="P95" s="397"/>
    </row>
    <row r="96" spans="1:16" ht="21.75" customHeight="1">
      <c r="A96" s="453" t="s">
        <v>76</v>
      </c>
      <c r="B96" s="453"/>
      <c r="C96" s="453"/>
      <c r="D96" s="453"/>
      <c r="E96" s="453"/>
      <c r="F96" s="453"/>
      <c r="G96" s="453"/>
      <c r="H96" s="453"/>
      <c r="I96" s="453"/>
      <c r="J96" s="453"/>
      <c r="K96" s="453"/>
      <c r="L96" s="453"/>
      <c r="M96" s="453"/>
      <c r="N96" s="453"/>
    </row>
    <row r="97" spans="1:18">
      <c r="A97" s="387"/>
      <c r="B97" s="387"/>
      <c r="C97" s="387"/>
      <c r="D97" s="387"/>
      <c r="E97" s="387"/>
      <c r="F97" s="387"/>
      <c r="G97" s="387"/>
      <c r="H97" s="387"/>
      <c r="I97" s="387"/>
      <c r="J97" s="387"/>
      <c r="K97" s="387"/>
      <c r="L97" s="387"/>
      <c r="M97" s="387"/>
      <c r="N97" s="387"/>
    </row>
    <row r="98" spans="1:18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</row>
    <row r="99" spans="1:18">
      <c r="A99" s="1" t="s">
        <v>14</v>
      </c>
    </row>
    <row r="101" spans="1:18">
      <c r="A101" s="1" t="s">
        <v>18</v>
      </c>
    </row>
    <row r="103" spans="1:18" ht="68.25" customHeight="1">
      <c r="A103" s="440" t="s">
        <v>346</v>
      </c>
      <c r="B103" s="440"/>
      <c r="C103" s="448" t="s">
        <v>303</v>
      </c>
      <c r="D103" s="449"/>
      <c r="E103" s="450"/>
      <c r="F103" s="440" t="s">
        <v>304</v>
      </c>
      <c r="G103" s="440"/>
      <c r="H103" s="440" t="s">
        <v>21</v>
      </c>
      <c r="I103" s="440"/>
      <c r="J103" s="440"/>
      <c r="K103" s="440"/>
      <c r="L103" s="440"/>
      <c r="M103" s="440" t="s">
        <v>22</v>
      </c>
      <c r="N103" s="440"/>
      <c r="O103" s="440"/>
      <c r="P103" s="440"/>
      <c r="Q103" s="439" t="s">
        <v>347</v>
      </c>
      <c r="R103" s="439"/>
    </row>
    <row r="104" spans="1:18" ht="24.75" customHeight="1">
      <c r="A104" s="440"/>
      <c r="B104" s="440"/>
      <c r="C104" s="440" t="s">
        <v>348</v>
      </c>
      <c r="D104" s="440" t="s">
        <v>348</v>
      </c>
      <c r="E104" s="440" t="s">
        <v>348</v>
      </c>
      <c r="F104" s="440" t="s">
        <v>348</v>
      </c>
      <c r="G104" s="440" t="s">
        <v>348</v>
      </c>
      <c r="H104" s="440" t="s">
        <v>349</v>
      </c>
      <c r="I104" s="440"/>
      <c r="J104" s="440" t="s">
        <v>305</v>
      </c>
      <c r="K104" s="440"/>
      <c r="L104" s="440"/>
      <c r="M104" s="454" t="s">
        <v>310</v>
      </c>
      <c r="N104" s="454" t="s">
        <v>311</v>
      </c>
      <c r="O104" s="456" t="s">
        <v>312</v>
      </c>
      <c r="P104" s="457"/>
      <c r="Q104" s="439" t="s">
        <v>314</v>
      </c>
      <c r="R104" s="443" t="s">
        <v>315</v>
      </c>
    </row>
    <row r="105" spans="1:18" ht="26.25" customHeight="1">
      <c r="A105" s="440"/>
      <c r="B105" s="440"/>
      <c r="C105" s="440"/>
      <c r="D105" s="440"/>
      <c r="E105" s="440"/>
      <c r="F105" s="440"/>
      <c r="G105" s="440"/>
      <c r="H105" s="440"/>
      <c r="I105" s="440"/>
      <c r="J105" s="451" t="s">
        <v>350</v>
      </c>
      <c r="K105" s="452"/>
      <c r="L105" s="350" t="s">
        <v>351</v>
      </c>
      <c r="M105" s="455"/>
      <c r="N105" s="455"/>
      <c r="O105" s="458"/>
      <c r="P105" s="459"/>
      <c r="Q105" s="439"/>
      <c r="R105" s="444"/>
    </row>
    <row r="106" spans="1:18">
      <c r="A106" s="433">
        <v>1</v>
      </c>
      <c r="B106" s="433"/>
      <c r="C106" s="356">
        <v>2</v>
      </c>
      <c r="D106" s="356">
        <v>3</v>
      </c>
      <c r="E106" s="356">
        <v>4</v>
      </c>
      <c r="F106" s="356">
        <v>5</v>
      </c>
      <c r="G106" s="356">
        <v>6</v>
      </c>
      <c r="H106" s="433">
        <v>7</v>
      </c>
      <c r="I106" s="433"/>
      <c r="J106" s="451">
        <v>8</v>
      </c>
      <c r="K106" s="452"/>
      <c r="L106" s="356">
        <v>9</v>
      </c>
      <c r="M106" s="356">
        <v>10</v>
      </c>
      <c r="N106" s="356">
        <v>11</v>
      </c>
      <c r="O106" s="433">
        <v>12</v>
      </c>
      <c r="P106" s="433"/>
      <c r="Q106" s="22">
        <v>13</v>
      </c>
      <c r="R106" s="360">
        <v>14</v>
      </c>
    </row>
    <row r="107" spans="1:18" ht="63" customHeight="1">
      <c r="A107" s="434"/>
      <c r="B107" s="435"/>
      <c r="C107" s="21" t="s">
        <v>105</v>
      </c>
      <c r="D107" s="21" t="s">
        <v>78</v>
      </c>
      <c r="E107" s="21"/>
      <c r="F107" s="21" t="s">
        <v>77</v>
      </c>
      <c r="G107" s="21"/>
      <c r="H107" s="445" t="s">
        <v>107</v>
      </c>
      <c r="I107" s="446"/>
      <c r="J107" s="447" t="s">
        <v>109</v>
      </c>
      <c r="K107" s="435"/>
      <c r="L107" s="354">
        <v>744</v>
      </c>
      <c r="M107" s="21"/>
      <c r="N107" s="21"/>
      <c r="O107" s="447"/>
      <c r="P107" s="435"/>
      <c r="Q107" s="5"/>
      <c r="R107" s="5"/>
    </row>
    <row r="108" spans="1:18" ht="63" customHeight="1">
      <c r="A108" s="434"/>
      <c r="B108" s="435"/>
      <c r="C108" s="21" t="s">
        <v>105</v>
      </c>
      <c r="D108" s="21" t="s">
        <v>80</v>
      </c>
      <c r="E108" s="21"/>
      <c r="F108" s="21" t="s">
        <v>77</v>
      </c>
      <c r="G108" s="21"/>
      <c r="H108" s="445" t="s">
        <v>108</v>
      </c>
      <c r="I108" s="446"/>
      <c r="J108" s="447" t="s">
        <v>109</v>
      </c>
      <c r="K108" s="435"/>
      <c r="L108" s="354">
        <v>744</v>
      </c>
      <c r="M108" s="21"/>
      <c r="N108" s="21"/>
      <c r="O108" s="447"/>
      <c r="P108" s="435"/>
      <c r="Q108" s="5"/>
      <c r="R108" s="5"/>
    </row>
    <row r="109" spans="1:18" ht="42.75" customHeight="1">
      <c r="A109" s="434"/>
      <c r="B109" s="435"/>
      <c r="C109" s="21" t="s">
        <v>106</v>
      </c>
      <c r="D109" s="21" t="s">
        <v>78</v>
      </c>
      <c r="E109" s="21"/>
      <c r="F109" s="21" t="s">
        <v>77</v>
      </c>
      <c r="G109" s="21"/>
      <c r="H109" s="445" t="s">
        <v>107</v>
      </c>
      <c r="I109" s="446"/>
      <c r="J109" s="447" t="s">
        <v>109</v>
      </c>
      <c r="K109" s="435"/>
      <c r="L109" s="354">
        <v>744</v>
      </c>
      <c r="M109" s="21"/>
      <c r="N109" s="21"/>
      <c r="O109" s="447"/>
      <c r="P109" s="435"/>
      <c r="Q109" s="5"/>
      <c r="R109" s="5"/>
    </row>
    <row r="110" spans="1:18" ht="42.75" customHeight="1">
      <c r="A110" s="434"/>
      <c r="B110" s="435"/>
      <c r="C110" s="21" t="s">
        <v>106</v>
      </c>
      <c r="D110" s="21" t="s">
        <v>80</v>
      </c>
      <c r="E110" s="21"/>
      <c r="F110" s="21" t="s">
        <v>77</v>
      </c>
      <c r="G110" s="21"/>
      <c r="H110" s="445" t="s">
        <v>108</v>
      </c>
      <c r="I110" s="446"/>
      <c r="J110" s="447" t="s">
        <v>109</v>
      </c>
      <c r="K110" s="435"/>
      <c r="L110" s="354">
        <v>744</v>
      </c>
      <c r="M110" s="21"/>
      <c r="N110" s="21"/>
      <c r="O110" s="447"/>
      <c r="P110" s="435"/>
      <c r="Q110" s="5"/>
      <c r="R110" s="5"/>
    </row>
    <row r="112" spans="1:18" s="2" customFormat="1"/>
    <row r="113" spans="1:18" s="2" customFormat="1">
      <c r="D113" s="4"/>
    </row>
    <row r="114" spans="1:18">
      <c r="D114" s="4"/>
    </row>
    <row r="116" spans="1:18">
      <c r="A116" s="1" t="s">
        <v>37</v>
      </c>
    </row>
    <row r="118" spans="1:18" ht="65.25" customHeight="1">
      <c r="A118" s="440" t="s">
        <v>19</v>
      </c>
      <c r="B118" s="440"/>
      <c r="C118" s="448" t="s">
        <v>303</v>
      </c>
      <c r="D118" s="449"/>
      <c r="E118" s="450"/>
      <c r="F118" s="440" t="s">
        <v>304</v>
      </c>
      <c r="G118" s="440"/>
      <c r="H118" s="439" t="s">
        <v>31</v>
      </c>
      <c r="I118" s="439"/>
      <c r="J118" s="439"/>
      <c r="K118" s="439" t="s">
        <v>32</v>
      </c>
      <c r="L118" s="439"/>
      <c r="M118" s="439"/>
      <c r="N118" s="423" t="s">
        <v>352</v>
      </c>
      <c r="O118" s="423"/>
      <c r="P118" s="424"/>
      <c r="Q118" s="439" t="s">
        <v>353</v>
      </c>
      <c r="R118" s="439"/>
    </row>
    <row r="119" spans="1:18" ht="42" customHeight="1">
      <c r="A119" s="440"/>
      <c r="B119" s="440"/>
      <c r="C119" s="440" t="s">
        <v>348</v>
      </c>
      <c r="D119" s="440" t="s">
        <v>348</v>
      </c>
      <c r="E119" s="440" t="s">
        <v>348</v>
      </c>
      <c r="F119" s="440" t="s">
        <v>348</v>
      </c>
      <c r="G119" s="440" t="s">
        <v>348</v>
      </c>
      <c r="H119" s="439" t="s">
        <v>354</v>
      </c>
      <c r="I119" s="439" t="s">
        <v>355</v>
      </c>
      <c r="J119" s="439"/>
      <c r="K119" s="441" t="s">
        <v>310</v>
      </c>
      <c r="L119" s="441" t="s">
        <v>311</v>
      </c>
      <c r="M119" s="441" t="s">
        <v>312</v>
      </c>
      <c r="N119" s="441" t="s">
        <v>310</v>
      </c>
      <c r="O119" s="441" t="s">
        <v>311</v>
      </c>
      <c r="P119" s="441" t="s">
        <v>312</v>
      </c>
      <c r="Q119" s="439" t="s">
        <v>314</v>
      </c>
      <c r="R119" s="443" t="s">
        <v>315</v>
      </c>
    </row>
    <row r="120" spans="1:18" ht="27.75" customHeight="1">
      <c r="A120" s="440"/>
      <c r="B120" s="440"/>
      <c r="C120" s="440"/>
      <c r="D120" s="440"/>
      <c r="E120" s="440"/>
      <c r="F120" s="440"/>
      <c r="G120" s="440"/>
      <c r="H120" s="439"/>
      <c r="I120" s="349" t="s">
        <v>356</v>
      </c>
      <c r="J120" s="349" t="s">
        <v>357</v>
      </c>
      <c r="K120" s="442"/>
      <c r="L120" s="442"/>
      <c r="M120" s="442"/>
      <c r="N120" s="442"/>
      <c r="O120" s="442"/>
      <c r="P120" s="442"/>
      <c r="Q120" s="439"/>
      <c r="R120" s="444"/>
    </row>
    <row r="121" spans="1:18">
      <c r="A121" s="433">
        <v>1</v>
      </c>
      <c r="B121" s="433"/>
      <c r="C121" s="356">
        <v>2</v>
      </c>
      <c r="D121" s="356">
        <v>3</v>
      </c>
      <c r="E121" s="356">
        <v>4</v>
      </c>
      <c r="F121" s="356">
        <v>5</v>
      </c>
      <c r="G121" s="356">
        <v>6</v>
      </c>
      <c r="H121" s="22">
        <v>7</v>
      </c>
      <c r="I121" s="22">
        <v>8</v>
      </c>
      <c r="J121" s="22">
        <v>9</v>
      </c>
      <c r="K121" s="22">
        <v>10</v>
      </c>
      <c r="L121" s="22">
        <v>11</v>
      </c>
      <c r="M121" s="22">
        <v>12</v>
      </c>
      <c r="N121" s="22">
        <v>13</v>
      </c>
      <c r="O121" s="22">
        <v>14</v>
      </c>
      <c r="P121" s="22">
        <v>15</v>
      </c>
      <c r="Q121" s="22">
        <v>16</v>
      </c>
      <c r="R121" s="360">
        <v>17</v>
      </c>
    </row>
    <row r="122" spans="1:18" ht="68.25">
      <c r="A122" s="434"/>
      <c r="B122" s="435"/>
      <c r="C122" s="21" t="s">
        <v>105</v>
      </c>
      <c r="D122" s="21" t="s">
        <v>78</v>
      </c>
      <c r="E122" s="21"/>
      <c r="F122" s="21" t="s">
        <v>77</v>
      </c>
      <c r="G122" s="21"/>
      <c r="H122" s="23" t="s">
        <v>110</v>
      </c>
      <c r="I122" s="23" t="s">
        <v>86</v>
      </c>
      <c r="J122" s="23">
        <v>792</v>
      </c>
      <c r="K122" s="24">
        <f>'проверка 2018'!H24</f>
        <v>86</v>
      </c>
      <c r="L122" s="24">
        <f>'проверка 2019 '!H24</f>
        <v>86</v>
      </c>
      <c r="M122" s="24">
        <f>'проверка 2020'!H24</f>
        <v>86</v>
      </c>
      <c r="N122" s="44"/>
      <c r="O122" s="44"/>
      <c r="P122" s="44"/>
      <c r="Q122" s="5"/>
      <c r="R122" s="5"/>
    </row>
    <row r="123" spans="1:18" ht="68.25">
      <c r="A123" s="434"/>
      <c r="B123" s="435"/>
      <c r="C123" s="21" t="s">
        <v>105</v>
      </c>
      <c r="D123" s="21" t="s">
        <v>80</v>
      </c>
      <c r="E123" s="21"/>
      <c r="F123" s="21" t="s">
        <v>77</v>
      </c>
      <c r="G123" s="21"/>
      <c r="H123" s="23" t="s">
        <v>110</v>
      </c>
      <c r="I123" s="23" t="s">
        <v>86</v>
      </c>
      <c r="J123" s="23">
        <v>792</v>
      </c>
      <c r="K123" s="24">
        <f>'проверка 2018'!I24</f>
        <v>541</v>
      </c>
      <c r="L123" s="24">
        <f>'проверка 2019 '!I24</f>
        <v>541</v>
      </c>
      <c r="M123" s="24">
        <f>'проверка 2020'!I24</f>
        <v>541</v>
      </c>
      <c r="N123" s="44"/>
      <c r="O123" s="44"/>
      <c r="P123" s="44"/>
      <c r="Q123" s="5"/>
      <c r="R123" s="5"/>
    </row>
    <row r="124" spans="1:18" ht="23.25" customHeight="1">
      <c r="A124" s="434"/>
      <c r="B124" s="435"/>
      <c r="C124" s="21" t="s">
        <v>106</v>
      </c>
      <c r="D124" s="21" t="s">
        <v>78</v>
      </c>
      <c r="E124" s="21"/>
      <c r="F124" s="21" t="s">
        <v>77</v>
      </c>
      <c r="G124" s="21"/>
      <c r="H124" s="23" t="s">
        <v>110</v>
      </c>
      <c r="I124" s="23" t="s">
        <v>86</v>
      </c>
      <c r="J124" s="23">
        <v>792</v>
      </c>
      <c r="K124" s="24">
        <f>'проверка 2018'!J24</f>
        <v>1</v>
      </c>
      <c r="L124" s="24">
        <f>'проверка 2019 '!J24</f>
        <v>1</v>
      </c>
      <c r="M124" s="24">
        <f>'проверка 2020'!J24</f>
        <v>1</v>
      </c>
      <c r="N124" s="44"/>
      <c r="O124" s="44"/>
      <c r="P124" s="44"/>
      <c r="Q124" s="5"/>
      <c r="R124" s="5"/>
    </row>
    <row r="125" spans="1:18" ht="23.25" customHeight="1">
      <c r="A125" s="434"/>
      <c r="B125" s="435"/>
      <c r="C125" s="21" t="s">
        <v>106</v>
      </c>
      <c r="D125" s="21" t="s">
        <v>80</v>
      </c>
      <c r="E125" s="21"/>
      <c r="F125" s="21" t="s">
        <v>77</v>
      </c>
      <c r="G125" s="21"/>
      <c r="H125" s="23" t="s">
        <v>110</v>
      </c>
      <c r="I125" s="23" t="s">
        <v>86</v>
      </c>
      <c r="J125" s="23">
        <v>792</v>
      </c>
      <c r="K125" s="24">
        <f>'проверка 2018'!K24</f>
        <v>2</v>
      </c>
      <c r="L125" s="24">
        <f>'проверка 2019 '!K24</f>
        <v>2</v>
      </c>
      <c r="M125" s="24">
        <f>'проверка 2020'!K24</f>
        <v>2</v>
      </c>
      <c r="N125" s="44"/>
      <c r="O125" s="44"/>
      <c r="P125" s="44"/>
      <c r="Q125" s="5"/>
      <c r="R125" s="5"/>
    </row>
    <row r="127" spans="1:18" s="2" customFormat="1" hidden="1"/>
    <row r="128" spans="1:18" s="2" customFormat="1" hidden="1">
      <c r="D128" s="4"/>
    </row>
    <row r="129" spans="1:19" hidden="1">
      <c r="D129" s="4"/>
    </row>
    <row r="130" spans="1:19" hidden="1">
      <c r="A130" s="8"/>
    </row>
    <row r="131" spans="1:19" hidden="1"/>
    <row r="132" spans="1:19" hidden="1"/>
    <row r="133" spans="1:19" hidden="1"/>
    <row r="135" spans="1:19">
      <c r="A135" s="1" t="s">
        <v>38</v>
      </c>
    </row>
    <row r="137" spans="1:19">
      <c r="A137" s="436" t="s">
        <v>43</v>
      </c>
      <c r="B137" s="436"/>
      <c r="C137" s="436"/>
      <c r="D137" s="436"/>
      <c r="E137" s="436"/>
      <c r="F137" s="436"/>
      <c r="G137" s="436"/>
      <c r="H137" s="436"/>
      <c r="I137" s="436"/>
      <c r="J137" s="436"/>
      <c r="K137" s="436"/>
      <c r="L137" s="436"/>
      <c r="M137" s="436"/>
    </row>
    <row r="138" spans="1:19">
      <c r="A138" s="351" t="s">
        <v>39</v>
      </c>
      <c r="B138" s="436" t="s">
        <v>40</v>
      </c>
      <c r="C138" s="436"/>
      <c r="D138" s="436"/>
      <c r="E138" s="351" t="s">
        <v>41</v>
      </c>
      <c r="F138" s="351" t="s">
        <v>42</v>
      </c>
      <c r="G138" s="436" t="s">
        <v>25</v>
      </c>
      <c r="H138" s="436"/>
      <c r="I138" s="436"/>
      <c r="J138" s="436"/>
      <c r="K138" s="436"/>
      <c r="L138" s="436"/>
      <c r="M138" s="436"/>
    </row>
    <row r="139" spans="1:19">
      <c r="A139" s="352">
        <v>1</v>
      </c>
      <c r="B139" s="437">
        <v>2</v>
      </c>
      <c r="C139" s="437"/>
      <c r="D139" s="437"/>
      <c r="E139" s="352">
        <v>3</v>
      </c>
      <c r="F139" s="352">
        <v>4</v>
      </c>
      <c r="G139" s="438">
        <v>5</v>
      </c>
      <c r="H139" s="438"/>
      <c r="I139" s="438"/>
      <c r="J139" s="438"/>
      <c r="K139" s="438"/>
      <c r="L139" s="438"/>
      <c r="M139" s="438"/>
    </row>
    <row r="140" spans="1:19" ht="45.75" customHeight="1">
      <c r="A140" s="22" t="s">
        <v>266</v>
      </c>
      <c r="B140" s="422" t="s">
        <v>267</v>
      </c>
      <c r="C140" s="423"/>
      <c r="D140" s="424"/>
      <c r="E140" s="312">
        <v>42954</v>
      </c>
      <c r="F140" s="22">
        <v>120</v>
      </c>
      <c r="G140" s="425" t="s">
        <v>318</v>
      </c>
      <c r="H140" s="426"/>
      <c r="I140" s="426"/>
      <c r="J140" s="426"/>
      <c r="K140" s="426"/>
      <c r="L140" s="426"/>
      <c r="M140" s="427"/>
      <c r="N140" s="188"/>
      <c r="O140" s="188"/>
      <c r="P140" s="188"/>
      <c r="Q140" s="2"/>
      <c r="R140" s="2"/>
      <c r="S140" s="2"/>
    </row>
    <row r="141" spans="1:19" hidden="1">
      <c r="A141" s="5"/>
      <c r="B141" s="428"/>
      <c r="C141" s="387"/>
      <c r="D141" s="429"/>
      <c r="E141" s="5"/>
      <c r="F141" s="5"/>
      <c r="G141" s="430"/>
      <c r="H141" s="384"/>
      <c r="I141" s="384"/>
      <c r="J141" s="384"/>
      <c r="K141" s="384"/>
      <c r="L141" s="384"/>
      <c r="M141" s="431"/>
    </row>
    <row r="144" spans="1:19">
      <c r="A144" s="1" t="s">
        <v>44</v>
      </c>
    </row>
    <row r="146" spans="1:16">
      <c r="A146" s="1" t="s">
        <v>45</v>
      </c>
    </row>
    <row r="147" spans="1:16" ht="13.5" customHeight="1">
      <c r="A147" s="432" t="s">
        <v>358</v>
      </c>
      <c r="B147" s="432"/>
      <c r="C147" s="432"/>
      <c r="D147" s="432"/>
      <c r="E147" s="432"/>
      <c r="F147" s="432"/>
      <c r="G147" s="432"/>
      <c r="H147" s="432"/>
      <c r="I147" s="432"/>
      <c r="J147" s="432"/>
      <c r="K147" s="432"/>
      <c r="L147" s="432"/>
      <c r="M147" s="432"/>
      <c r="N147" s="432"/>
      <c r="O147" s="432"/>
      <c r="P147" s="432"/>
    </row>
    <row r="148" spans="1:16" ht="17.25" customHeight="1">
      <c r="A148" s="432" t="s">
        <v>359</v>
      </c>
      <c r="B148" s="432"/>
      <c r="C148" s="432"/>
      <c r="D148" s="432"/>
      <c r="E148" s="432"/>
      <c r="F148" s="432"/>
      <c r="G148" s="432"/>
      <c r="H148" s="432"/>
      <c r="I148" s="432"/>
      <c r="J148" s="432"/>
      <c r="K148" s="432"/>
      <c r="L148" s="432"/>
      <c r="M148" s="432"/>
      <c r="N148" s="364"/>
      <c r="O148" s="364"/>
      <c r="P148" s="364"/>
    </row>
    <row r="149" spans="1:16" ht="33.75" customHeight="1">
      <c r="A149" s="432" t="s">
        <v>360</v>
      </c>
      <c r="B149" s="432"/>
      <c r="C149" s="432"/>
      <c r="D149" s="432"/>
      <c r="E149" s="432"/>
      <c r="F149" s="432"/>
      <c r="G149" s="432"/>
      <c r="H149" s="432"/>
      <c r="I149" s="432"/>
      <c r="J149" s="432"/>
      <c r="K149" s="432"/>
      <c r="L149" s="432"/>
      <c r="M149" s="432"/>
      <c r="N149" s="364"/>
      <c r="O149" s="364"/>
      <c r="P149" s="364"/>
    </row>
    <row r="150" spans="1:16" ht="33.75" customHeight="1">
      <c r="A150" s="432" t="s">
        <v>361</v>
      </c>
      <c r="B150" s="432"/>
      <c r="C150" s="432"/>
      <c r="D150" s="432"/>
      <c r="E150" s="432"/>
      <c r="F150" s="432"/>
      <c r="G150" s="432"/>
      <c r="H150" s="432"/>
      <c r="I150" s="432"/>
      <c r="J150" s="432"/>
      <c r="K150" s="432"/>
      <c r="L150" s="432"/>
      <c r="M150" s="432"/>
      <c r="N150" s="364"/>
      <c r="O150" s="364"/>
      <c r="P150" s="364"/>
    </row>
    <row r="151" spans="1:16" ht="45.75" customHeight="1">
      <c r="A151" s="432" t="s">
        <v>362</v>
      </c>
      <c r="B151" s="432"/>
      <c r="C151" s="432"/>
      <c r="D151" s="432"/>
      <c r="E151" s="432"/>
      <c r="F151" s="432"/>
      <c r="G151" s="432"/>
      <c r="H151" s="432"/>
      <c r="I151" s="432"/>
      <c r="J151" s="432"/>
      <c r="K151" s="432"/>
      <c r="L151" s="432"/>
      <c r="M151" s="432"/>
      <c r="N151" s="364"/>
      <c r="O151" s="364"/>
      <c r="P151" s="364"/>
    </row>
    <row r="152" spans="1:16">
      <c r="A152" s="484" t="s">
        <v>46</v>
      </c>
      <c r="B152" s="484"/>
      <c r="C152" s="484"/>
      <c r="D152" s="484"/>
      <c r="E152" s="484"/>
      <c r="F152" s="484"/>
      <c r="G152" s="484"/>
      <c r="H152" s="484"/>
      <c r="I152" s="484"/>
      <c r="J152" s="484"/>
      <c r="K152" s="484"/>
      <c r="L152" s="484"/>
    </row>
    <row r="155" spans="1:16">
      <c r="A155" s="1" t="s">
        <v>306</v>
      </c>
    </row>
    <row r="157" spans="1:16">
      <c r="A157" s="436" t="s">
        <v>47</v>
      </c>
      <c r="B157" s="436"/>
      <c r="C157" s="436"/>
      <c r="D157" s="436" t="s">
        <v>48</v>
      </c>
      <c r="E157" s="436"/>
      <c r="F157" s="436"/>
      <c r="G157" s="436"/>
      <c r="H157" s="436" t="s">
        <v>49</v>
      </c>
      <c r="I157" s="436"/>
      <c r="J157" s="436"/>
      <c r="K157" s="436"/>
    </row>
    <row r="158" spans="1:16">
      <c r="A158" s="437">
        <v>1</v>
      </c>
      <c r="B158" s="437"/>
      <c r="C158" s="437"/>
      <c r="D158" s="437">
        <v>2</v>
      </c>
      <c r="E158" s="437"/>
      <c r="F158" s="437"/>
      <c r="G158" s="437"/>
      <c r="H158" s="437">
        <v>3</v>
      </c>
      <c r="I158" s="437"/>
      <c r="J158" s="437"/>
      <c r="K158" s="437"/>
    </row>
    <row r="159" spans="1:16" ht="325.5" customHeight="1">
      <c r="A159" s="460" t="s">
        <v>268</v>
      </c>
      <c r="B159" s="461"/>
      <c r="C159" s="462"/>
      <c r="D159" s="463" t="s">
        <v>363</v>
      </c>
      <c r="E159" s="464"/>
      <c r="F159" s="464"/>
      <c r="G159" s="465"/>
      <c r="H159" s="466" t="s">
        <v>364</v>
      </c>
      <c r="I159" s="467"/>
      <c r="J159" s="467"/>
      <c r="K159" s="468"/>
    </row>
    <row r="160" spans="1:16">
      <c r="A160" s="428"/>
      <c r="B160" s="387"/>
      <c r="C160" s="429"/>
      <c r="D160" s="428"/>
      <c r="E160" s="387"/>
      <c r="F160" s="387"/>
      <c r="G160" s="429"/>
      <c r="H160" s="428"/>
      <c r="I160" s="387"/>
      <c r="J160" s="387"/>
      <c r="K160" s="429"/>
    </row>
    <row r="163" spans="1:16" hidden="1">
      <c r="A163" s="401" t="s">
        <v>50</v>
      </c>
      <c r="B163" s="401"/>
      <c r="C163" s="401"/>
      <c r="D163" s="401"/>
      <c r="E163" s="401"/>
      <c r="F163" s="401"/>
      <c r="G163" s="401"/>
      <c r="H163" s="401"/>
      <c r="I163" s="401"/>
      <c r="J163" s="401"/>
      <c r="K163" s="401"/>
      <c r="L163" s="401"/>
      <c r="M163" s="401"/>
      <c r="N163" s="401"/>
      <c r="O163" s="401"/>
      <c r="P163" s="401"/>
    </row>
    <row r="164" spans="1:16" hidden="1">
      <c r="A164" s="401" t="s">
        <v>8</v>
      </c>
      <c r="B164" s="401"/>
      <c r="C164" s="401"/>
      <c r="D164" s="401"/>
      <c r="E164" s="401"/>
      <c r="F164" s="401"/>
      <c r="G164" s="401"/>
      <c r="H164" s="401"/>
      <c r="I164" s="401"/>
      <c r="J164" s="401"/>
      <c r="K164" s="401"/>
      <c r="L164" s="401"/>
      <c r="M164" s="401"/>
      <c r="N164" s="401"/>
      <c r="O164" s="401"/>
      <c r="P164" s="401"/>
    </row>
    <row r="165" spans="1:16" hidden="1"/>
    <row r="166" spans="1:16" s="10" customFormat="1" hidden="1">
      <c r="A166" s="10" t="s">
        <v>51</v>
      </c>
      <c r="C166" s="392"/>
      <c r="D166" s="392"/>
      <c r="E166" s="392"/>
      <c r="F166" s="392"/>
      <c r="G166" s="392"/>
      <c r="H166" s="392"/>
      <c r="I166" s="392"/>
      <c r="J166" s="392"/>
      <c r="K166" s="392"/>
      <c r="L166" s="392"/>
      <c r="M166" s="11"/>
      <c r="N166" s="11" t="s">
        <v>11</v>
      </c>
      <c r="O166" s="397"/>
      <c r="P166" s="397"/>
    </row>
    <row r="167" spans="1:16" s="10" customFormat="1" hidden="1">
      <c r="A167" s="392"/>
      <c r="B167" s="392"/>
      <c r="C167" s="392"/>
      <c r="D167" s="392"/>
      <c r="E167" s="392"/>
      <c r="F167" s="392"/>
      <c r="G167" s="392"/>
      <c r="H167" s="392"/>
      <c r="I167" s="392"/>
      <c r="J167" s="392"/>
      <c r="K167" s="392"/>
      <c r="L167" s="392"/>
      <c r="M167" s="11"/>
      <c r="N167" s="11" t="s">
        <v>12</v>
      </c>
      <c r="O167" s="397"/>
      <c r="P167" s="397"/>
    </row>
    <row r="168" spans="1:16" s="10" customFormat="1" hidden="1">
      <c r="A168" s="10" t="s">
        <v>52</v>
      </c>
      <c r="D168" s="392"/>
      <c r="E168" s="392"/>
      <c r="F168" s="392"/>
      <c r="G168" s="392"/>
      <c r="H168" s="392"/>
      <c r="I168" s="392"/>
      <c r="J168" s="392"/>
      <c r="K168" s="392"/>
      <c r="L168" s="392"/>
      <c r="M168" s="392"/>
      <c r="N168" s="11" t="s">
        <v>13</v>
      </c>
      <c r="O168" s="397"/>
      <c r="P168" s="397"/>
    </row>
    <row r="169" spans="1:16" s="10" customFormat="1" hidden="1">
      <c r="A169" s="392"/>
      <c r="B169" s="392"/>
      <c r="C169" s="392"/>
      <c r="D169" s="392"/>
      <c r="E169" s="392"/>
      <c r="F169" s="392"/>
      <c r="G169" s="392"/>
      <c r="H169" s="392"/>
      <c r="I169" s="392"/>
      <c r="J169" s="392"/>
      <c r="K169" s="392"/>
      <c r="L169" s="392"/>
      <c r="M169" s="392"/>
      <c r="N169" s="12"/>
    </row>
    <row r="170" spans="1:16" s="10" customFormat="1" hidden="1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</row>
    <row r="171" spans="1:16" s="10" customFormat="1" hidden="1">
      <c r="A171" s="10" t="s">
        <v>53</v>
      </c>
    </row>
    <row r="172" spans="1:16" s="10" customFormat="1" hidden="1"/>
    <row r="173" spans="1:16" s="10" customFormat="1" hidden="1">
      <c r="A173" s="10" t="s">
        <v>54</v>
      </c>
    </row>
    <row r="174" spans="1:16" s="9" customFormat="1" hidden="1"/>
    <row r="175" spans="1:16" s="9" customFormat="1" ht="67.5" hidden="1" customHeight="1">
      <c r="A175" s="405" t="s">
        <v>19</v>
      </c>
      <c r="B175" s="405"/>
      <c r="C175" s="406" t="s">
        <v>55</v>
      </c>
      <c r="D175" s="407"/>
      <c r="E175" s="408"/>
      <c r="F175" s="405" t="s">
        <v>56</v>
      </c>
      <c r="G175" s="405"/>
      <c r="H175" s="405" t="s">
        <v>57</v>
      </c>
      <c r="I175" s="405"/>
      <c r="J175" s="405"/>
      <c r="K175" s="405"/>
      <c r="L175" s="405"/>
      <c r="M175" s="405" t="s">
        <v>58</v>
      </c>
      <c r="N175" s="405"/>
      <c r="O175" s="405"/>
      <c r="P175" s="405"/>
    </row>
    <row r="176" spans="1:16" s="9" customFormat="1" ht="24.75" hidden="1" customHeight="1">
      <c r="A176" s="405"/>
      <c r="B176" s="405"/>
      <c r="C176" s="405" t="s">
        <v>20</v>
      </c>
      <c r="D176" s="405" t="s">
        <v>20</v>
      </c>
      <c r="E176" s="405" t="s">
        <v>20</v>
      </c>
      <c r="F176" s="405" t="s">
        <v>20</v>
      </c>
      <c r="G176" s="405" t="s">
        <v>20</v>
      </c>
      <c r="H176" s="405" t="s">
        <v>26</v>
      </c>
      <c r="I176" s="405"/>
      <c r="J176" s="405" t="s">
        <v>23</v>
      </c>
      <c r="K176" s="405"/>
      <c r="L176" s="405"/>
      <c r="M176" s="414" t="s">
        <v>27</v>
      </c>
      <c r="N176" s="414" t="s">
        <v>28</v>
      </c>
      <c r="O176" s="416" t="s">
        <v>29</v>
      </c>
      <c r="P176" s="417"/>
    </row>
    <row r="177" spans="1:16" s="9" customFormat="1" ht="26.25" hidden="1" customHeight="1">
      <c r="A177" s="405"/>
      <c r="B177" s="405"/>
      <c r="C177" s="405"/>
      <c r="D177" s="405"/>
      <c r="E177" s="405"/>
      <c r="F177" s="405"/>
      <c r="G177" s="405"/>
      <c r="H177" s="405"/>
      <c r="I177" s="405"/>
      <c r="J177" s="420" t="s">
        <v>25</v>
      </c>
      <c r="K177" s="421"/>
      <c r="L177" s="358" t="s">
        <v>24</v>
      </c>
      <c r="M177" s="415"/>
      <c r="N177" s="415"/>
      <c r="O177" s="418"/>
      <c r="P177" s="419"/>
    </row>
    <row r="178" spans="1:16" s="9" customFormat="1" hidden="1">
      <c r="A178" s="410">
        <v>1</v>
      </c>
      <c r="B178" s="410"/>
      <c r="C178" s="357">
        <v>2</v>
      </c>
      <c r="D178" s="357">
        <v>3</v>
      </c>
      <c r="E178" s="357">
        <v>4</v>
      </c>
      <c r="F178" s="357">
        <v>5</v>
      </c>
      <c r="G178" s="357">
        <v>6</v>
      </c>
      <c r="H178" s="410">
        <v>7</v>
      </c>
      <c r="I178" s="410"/>
      <c r="J178" s="411">
        <v>8</v>
      </c>
      <c r="K178" s="412"/>
      <c r="L178" s="357">
        <v>9</v>
      </c>
      <c r="M178" s="357">
        <v>10</v>
      </c>
      <c r="N178" s="357">
        <v>11</v>
      </c>
      <c r="O178" s="413">
        <v>12</v>
      </c>
      <c r="P178" s="413"/>
    </row>
    <row r="179" spans="1:16" s="9" customFormat="1" hidden="1">
      <c r="A179" s="398"/>
      <c r="B179" s="400"/>
      <c r="C179" s="6"/>
      <c r="D179" s="6"/>
      <c r="E179" s="6"/>
      <c r="F179" s="6"/>
      <c r="G179" s="6"/>
      <c r="H179" s="398"/>
      <c r="I179" s="400"/>
      <c r="J179" s="398"/>
      <c r="K179" s="400"/>
      <c r="L179" s="6"/>
      <c r="M179" s="6"/>
      <c r="N179" s="6"/>
      <c r="O179" s="398"/>
      <c r="P179" s="400"/>
    </row>
    <row r="180" spans="1:16" s="9" customFormat="1" hidden="1">
      <c r="A180" s="398"/>
      <c r="B180" s="400"/>
      <c r="C180" s="6"/>
      <c r="D180" s="6"/>
      <c r="E180" s="6"/>
      <c r="F180" s="6"/>
      <c r="G180" s="6"/>
      <c r="H180" s="398"/>
      <c r="I180" s="400"/>
      <c r="J180" s="398"/>
      <c r="K180" s="400"/>
      <c r="L180" s="6"/>
      <c r="M180" s="6"/>
      <c r="N180" s="6"/>
      <c r="O180" s="398"/>
      <c r="P180" s="400"/>
    </row>
    <row r="181" spans="1:16" s="9" customFormat="1" hidden="1">
      <c r="A181" s="398"/>
      <c r="B181" s="400"/>
      <c r="C181" s="6"/>
      <c r="D181" s="6"/>
      <c r="E181" s="6"/>
      <c r="F181" s="6"/>
      <c r="G181" s="6"/>
      <c r="H181" s="398"/>
      <c r="I181" s="400"/>
      <c r="J181" s="398"/>
      <c r="K181" s="400"/>
      <c r="L181" s="6"/>
      <c r="M181" s="6"/>
      <c r="N181" s="6"/>
      <c r="O181" s="398"/>
      <c r="P181" s="400"/>
    </row>
    <row r="182" spans="1:16" s="9" customFormat="1" hidden="1">
      <c r="A182" s="398"/>
      <c r="B182" s="400"/>
      <c r="C182" s="6"/>
      <c r="D182" s="6"/>
      <c r="E182" s="6"/>
      <c r="F182" s="6"/>
      <c r="G182" s="6"/>
      <c r="H182" s="398"/>
      <c r="I182" s="400"/>
      <c r="J182" s="398"/>
      <c r="K182" s="400"/>
      <c r="L182" s="6"/>
      <c r="M182" s="6"/>
      <c r="N182" s="6"/>
      <c r="O182" s="398"/>
      <c r="P182" s="400"/>
    </row>
    <row r="183" spans="1:16" s="9" customFormat="1" hidden="1">
      <c r="A183" s="398"/>
      <c r="B183" s="400"/>
      <c r="C183" s="6"/>
      <c r="D183" s="6"/>
      <c r="E183" s="6"/>
      <c r="F183" s="6"/>
      <c r="G183" s="6"/>
      <c r="H183" s="398"/>
      <c r="I183" s="400"/>
      <c r="J183" s="398"/>
      <c r="K183" s="400"/>
      <c r="L183" s="6"/>
      <c r="M183" s="6"/>
      <c r="N183" s="6"/>
      <c r="O183" s="398"/>
      <c r="P183" s="400"/>
    </row>
    <row r="184" spans="1:16" s="9" customFormat="1" hidden="1">
      <c r="A184" s="398"/>
      <c r="B184" s="400"/>
      <c r="C184" s="6"/>
      <c r="D184" s="6"/>
      <c r="E184" s="6"/>
      <c r="F184" s="6"/>
      <c r="G184" s="6"/>
      <c r="H184" s="398"/>
      <c r="I184" s="400"/>
      <c r="J184" s="398"/>
      <c r="K184" s="400"/>
      <c r="L184" s="6"/>
      <c r="M184" s="6"/>
      <c r="N184" s="6"/>
      <c r="O184" s="398"/>
      <c r="P184" s="400"/>
    </row>
    <row r="185" spans="1:16" s="9" customFormat="1" hidden="1">
      <c r="A185" s="398"/>
      <c r="B185" s="400"/>
      <c r="C185" s="6"/>
      <c r="D185" s="6"/>
      <c r="E185" s="6"/>
      <c r="F185" s="6"/>
      <c r="G185" s="6"/>
      <c r="H185" s="398"/>
      <c r="I185" s="400"/>
      <c r="J185" s="398"/>
      <c r="K185" s="400"/>
      <c r="L185" s="6"/>
      <c r="M185" s="6"/>
      <c r="N185" s="6"/>
      <c r="O185" s="398"/>
      <c r="P185" s="400"/>
    </row>
    <row r="186" spans="1:16" s="9" customFormat="1" hidden="1">
      <c r="A186" s="398"/>
      <c r="B186" s="400"/>
      <c r="C186" s="6"/>
      <c r="D186" s="6"/>
      <c r="E186" s="6"/>
      <c r="F186" s="6"/>
      <c r="G186" s="6"/>
      <c r="H186" s="398"/>
      <c r="I186" s="400"/>
      <c r="J186" s="398"/>
      <c r="K186" s="400"/>
      <c r="L186" s="6"/>
      <c r="M186" s="6"/>
      <c r="N186" s="6"/>
      <c r="O186" s="398"/>
      <c r="P186" s="400"/>
    </row>
    <row r="187" spans="1:16" s="9" customFormat="1" hidden="1"/>
    <row r="188" spans="1:16" s="10" customFormat="1" hidden="1">
      <c r="A188" s="10" t="s">
        <v>59</v>
      </c>
    </row>
    <row r="189" spans="1:16" s="10" customFormat="1" hidden="1">
      <c r="A189" s="10" t="s">
        <v>30</v>
      </c>
      <c r="D189" s="397"/>
    </row>
    <row r="190" spans="1:16" s="10" customFormat="1" hidden="1">
      <c r="D190" s="397"/>
    </row>
    <row r="191" spans="1:16" s="10" customFormat="1" hidden="1"/>
    <row r="192" spans="1:16" s="10" customFormat="1" hidden="1">
      <c r="A192" s="10" t="s">
        <v>60</v>
      </c>
    </row>
    <row r="193" spans="1:16" s="10" customFormat="1" hidden="1"/>
    <row r="194" spans="1:16" s="10" customFormat="1" ht="39.75" hidden="1" customHeight="1">
      <c r="A194" s="405" t="s">
        <v>19</v>
      </c>
      <c r="B194" s="405" t="s">
        <v>55</v>
      </c>
      <c r="C194" s="405"/>
      <c r="D194" s="405"/>
      <c r="E194" s="406" t="s">
        <v>63</v>
      </c>
      <c r="F194" s="407"/>
      <c r="G194" s="408"/>
      <c r="H194" s="405" t="s">
        <v>61</v>
      </c>
      <c r="I194" s="405"/>
      <c r="J194" s="405"/>
      <c r="K194" s="405" t="s">
        <v>62</v>
      </c>
      <c r="L194" s="405"/>
      <c r="M194" s="405"/>
      <c r="N194" s="409"/>
      <c r="O194" s="409"/>
      <c r="P194" s="409"/>
    </row>
    <row r="195" spans="1:16" s="10" customFormat="1" ht="42" hidden="1" customHeight="1">
      <c r="A195" s="405"/>
      <c r="B195" s="405" t="s">
        <v>20</v>
      </c>
      <c r="C195" s="405" t="s">
        <v>20</v>
      </c>
      <c r="D195" s="405" t="s">
        <v>20</v>
      </c>
      <c r="E195" s="408" t="s">
        <v>20</v>
      </c>
      <c r="F195" s="405" t="s">
        <v>20</v>
      </c>
      <c r="G195" s="405" t="s">
        <v>20</v>
      </c>
      <c r="H195" s="405" t="s">
        <v>26</v>
      </c>
      <c r="I195" s="405" t="s">
        <v>23</v>
      </c>
      <c r="J195" s="405"/>
      <c r="K195" s="405" t="s">
        <v>27</v>
      </c>
      <c r="L195" s="405" t="s">
        <v>28</v>
      </c>
      <c r="M195" s="405" t="s">
        <v>29</v>
      </c>
      <c r="N195" s="409"/>
      <c r="O195" s="409"/>
      <c r="P195" s="409"/>
    </row>
    <row r="196" spans="1:16" s="10" customFormat="1" ht="27.75" hidden="1" customHeight="1">
      <c r="A196" s="405"/>
      <c r="B196" s="405"/>
      <c r="C196" s="405"/>
      <c r="D196" s="405"/>
      <c r="E196" s="408"/>
      <c r="F196" s="405"/>
      <c r="G196" s="405"/>
      <c r="H196" s="405"/>
      <c r="I196" s="353" t="s">
        <v>33</v>
      </c>
      <c r="J196" s="358" t="s">
        <v>24</v>
      </c>
      <c r="K196" s="405"/>
      <c r="L196" s="405"/>
      <c r="M196" s="405"/>
      <c r="N196" s="409"/>
      <c r="O196" s="409"/>
      <c r="P196" s="409"/>
    </row>
    <row r="197" spans="1:16" s="10" customFormat="1" hidden="1">
      <c r="A197" s="359">
        <v>1</v>
      </c>
      <c r="B197" s="359">
        <v>2</v>
      </c>
      <c r="C197" s="359">
        <v>3</v>
      </c>
      <c r="D197" s="359">
        <v>4</v>
      </c>
      <c r="E197" s="357">
        <v>4</v>
      </c>
      <c r="F197" s="357">
        <v>5</v>
      </c>
      <c r="G197" s="357">
        <v>6</v>
      </c>
      <c r="H197" s="357">
        <v>7</v>
      </c>
      <c r="I197" s="357">
        <v>8</v>
      </c>
      <c r="J197" s="357">
        <v>9</v>
      </c>
      <c r="K197" s="357">
        <v>10</v>
      </c>
      <c r="L197" s="357">
        <v>11</v>
      </c>
      <c r="M197" s="357">
        <v>12</v>
      </c>
      <c r="N197" s="14"/>
      <c r="O197" s="15"/>
      <c r="P197" s="15"/>
    </row>
    <row r="198" spans="1:16" s="10" customFormat="1" hidden="1">
      <c r="A198" s="7"/>
      <c r="B198" s="7"/>
      <c r="C198" s="6"/>
      <c r="D198" s="6"/>
      <c r="E198" s="6"/>
      <c r="F198" s="6"/>
      <c r="G198" s="6"/>
      <c r="H198" s="7"/>
      <c r="I198" s="7"/>
      <c r="J198" s="6"/>
      <c r="K198" s="6"/>
      <c r="L198" s="6"/>
      <c r="M198" s="6"/>
      <c r="N198" s="16"/>
      <c r="O198" s="12"/>
      <c r="P198" s="12"/>
    </row>
    <row r="199" spans="1:16" s="10" customFormat="1" hidden="1">
      <c r="A199" s="7"/>
      <c r="B199" s="7"/>
      <c r="C199" s="6"/>
      <c r="D199" s="6"/>
      <c r="E199" s="6"/>
      <c r="F199" s="6"/>
      <c r="G199" s="6"/>
      <c r="H199" s="7"/>
      <c r="I199" s="7"/>
      <c r="J199" s="6"/>
      <c r="K199" s="6"/>
      <c r="L199" s="6"/>
      <c r="M199" s="6"/>
      <c r="N199" s="16"/>
      <c r="O199" s="12"/>
      <c r="P199" s="12"/>
    </row>
    <row r="200" spans="1:16" s="10" customFormat="1" hidden="1">
      <c r="A200" s="7"/>
      <c r="B200" s="7"/>
      <c r="C200" s="6"/>
      <c r="D200" s="6"/>
      <c r="E200" s="6"/>
      <c r="F200" s="6"/>
      <c r="G200" s="6"/>
      <c r="H200" s="7"/>
      <c r="I200" s="7"/>
      <c r="J200" s="6"/>
      <c r="K200" s="6"/>
      <c r="L200" s="6"/>
      <c r="M200" s="6"/>
      <c r="N200" s="16"/>
      <c r="O200" s="12"/>
      <c r="P200" s="12"/>
    </row>
    <row r="201" spans="1:16" s="10" customFormat="1" hidden="1">
      <c r="A201" s="7"/>
      <c r="B201" s="7"/>
      <c r="C201" s="6"/>
      <c r="D201" s="6"/>
      <c r="E201" s="6"/>
      <c r="F201" s="6"/>
      <c r="G201" s="6"/>
      <c r="H201" s="7"/>
      <c r="I201" s="7"/>
      <c r="J201" s="6"/>
      <c r="K201" s="6"/>
      <c r="L201" s="6"/>
      <c r="M201" s="6"/>
      <c r="N201" s="16"/>
      <c r="O201" s="12"/>
      <c r="P201" s="12"/>
    </row>
    <row r="202" spans="1:16" s="10" customFormat="1" hidden="1">
      <c r="A202" s="7"/>
      <c r="B202" s="7"/>
      <c r="C202" s="6"/>
      <c r="D202" s="6"/>
      <c r="E202" s="6"/>
      <c r="F202" s="6"/>
      <c r="G202" s="6"/>
      <c r="H202" s="7"/>
      <c r="I202" s="7"/>
      <c r="J202" s="6"/>
      <c r="K202" s="6"/>
      <c r="L202" s="6"/>
      <c r="M202" s="6"/>
      <c r="N202" s="16"/>
      <c r="O202" s="12"/>
      <c r="P202" s="12"/>
    </row>
    <row r="203" spans="1:16" s="10" customFormat="1" hidden="1">
      <c r="A203" s="7"/>
      <c r="B203" s="7"/>
      <c r="C203" s="6"/>
      <c r="D203" s="6"/>
      <c r="E203" s="6"/>
      <c r="F203" s="6"/>
      <c r="G203" s="6"/>
      <c r="H203" s="7"/>
      <c r="I203" s="7"/>
      <c r="J203" s="6"/>
      <c r="K203" s="6"/>
      <c r="L203" s="6"/>
      <c r="M203" s="6"/>
      <c r="N203" s="16"/>
      <c r="O203" s="12"/>
      <c r="P203" s="12"/>
    </row>
    <row r="204" spans="1:16" s="10" customFormat="1" hidden="1">
      <c r="A204" s="7"/>
      <c r="B204" s="7"/>
      <c r="C204" s="6"/>
      <c r="D204" s="6"/>
      <c r="E204" s="6"/>
      <c r="F204" s="6"/>
      <c r="G204" s="6"/>
      <c r="H204" s="7"/>
      <c r="I204" s="7"/>
      <c r="J204" s="6"/>
      <c r="K204" s="6"/>
      <c r="L204" s="6"/>
      <c r="M204" s="6"/>
      <c r="N204" s="16"/>
      <c r="O204" s="12"/>
      <c r="P204" s="12"/>
    </row>
    <row r="205" spans="1:16" s="10" customFormat="1" hidden="1">
      <c r="A205" s="7"/>
      <c r="B205" s="7"/>
      <c r="C205" s="6"/>
      <c r="D205" s="6"/>
      <c r="E205" s="6"/>
      <c r="F205" s="6"/>
      <c r="G205" s="6"/>
      <c r="H205" s="7"/>
      <c r="I205" s="7"/>
      <c r="J205" s="6"/>
      <c r="K205" s="6"/>
      <c r="L205" s="6"/>
      <c r="M205" s="6"/>
      <c r="N205" s="16"/>
      <c r="O205" s="12"/>
      <c r="P205" s="12"/>
    </row>
    <row r="206" spans="1:16" s="10" customFormat="1" hidden="1"/>
    <row r="207" spans="1:16" s="10" customFormat="1" hidden="1">
      <c r="A207" s="10" t="s">
        <v>64</v>
      </c>
    </row>
    <row r="208" spans="1:16" s="10" customFormat="1" hidden="1">
      <c r="A208" s="10" t="s">
        <v>30</v>
      </c>
      <c r="D208" s="397"/>
    </row>
    <row r="209" spans="1:16" s="10" customFormat="1" hidden="1">
      <c r="D209" s="397"/>
    </row>
    <row r="210" spans="1:16" s="10" customFormat="1" hidden="1">
      <c r="A210" s="17" t="s">
        <v>34</v>
      </c>
    </row>
    <row r="211" spans="1:16" s="10" customFormat="1" hidden="1">
      <c r="A211" s="10" t="s">
        <v>35</v>
      </c>
    </row>
    <row r="212" spans="1:16" s="10" customFormat="1" hidden="1">
      <c r="A212" s="10" t="s">
        <v>36</v>
      </c>
    </row>
    <row r="213" spans="1:16" s="9" customFormat="1" hidden="1"/>
    <row r="214" spans="1:16" s="9" customFormat="1" hidden="1"/>
    <row r="215" spans="1:16" s="9" customFormat="1"/>
    <row r="216" spans="1:16" s="9" customFormat="1">
      <c r="A216" s="401" t="s">
        <v>365</v>
      </c>
      <c r="B216" s="401"/>
      <c r="C216" s="401"/>
      <c r="D216" s="401"/>
      <c r="E216" s="401"/>
      <c r="F216" s="401"/>
      <c r="G216" s="401"/>
      <c r="H216" s="401"/>
      <c r="I216" s="401"/>
      <c r="J216" s="401"/>
      <c r="K216" s="401"/>
      <c r="L216" s="401"/>
      <c r="M216" s="401"/>
      <c r="N216" s="401"/>
      <c r="O216" s="401"/>
      <c r="P216" s="401"/>
    </row>
    <row r="217" spans="1:16" s="9" customFormat="1">
      <c r="A217" s="355"/>
      <c r="B217" s="355"/>
      <c r="C217" s="355"/>
      <c r="D217" s="355"/>
      <c r="E217" s="355"/>
      <c r="F217" s="355"/>
      <c r="G217" s="355"/>
      <c r="H217" s="355"/>
      <c r="I217" s="355"/>
      <c r="J217" s="355"/>
      <c r="K217" s="355"/>
      <c r="L217" s="355"/>
      <c r="M217" s="355"/>
      <c r="N217" s="355"/>
      <c r="O217" s="355"/>
      <c r="P217" s="355"/>
    </row>
    <row r="218" spans="1:16" s="9" customFormat="1">
      <c r="A218" s="18" t="s">
        <v>307</v>
      </c>
      <c r="B218" s="355"/>
      <c r="C218" s="355"/>
      <c r="D218" s="355"/>
      <c r="E218" s="355"/>
      <c r="F218" s="355"/>
      <c r="G218" s="355"/>
      <c r="H218" s="4"/>
      <c r="I218" s="384"/>
      <c r="J218" s="384"/>
      <c r="K218" s="384"/>
      <c r="L218" s="384"/>
      <c r="M218" s="384"/>
      <c r="N218" s="384"/>
      <c r="O218" s="384"/>
      <c r="P218" s="355"/>
    </row>
    <row r="219" spans="1:16" s="9" customFormat="1" ht="92.25" customHeight="1">
      <c r="A219" s="402" t="s">
        <v>366</v>
      </c>
      <c r="B219" s="402"/>
      <c r="C219" s="402"/>
      <c r="D219" s="402"/>
      <c r="E219" s="402"/>
      <c r="F219" s="402"/>
      <c r="G219" s="402"/>
      <c r="H219" s="402"/>
      <c r="I219" s="402"/>
      <c r="J219" s="402"/>
      <c r="K219" s="402"/>
      <c r="L219" s="402"/>
      <c r="M219" s="402"/>
      <c r="N219" s="402"/>
      <c r="O219" s="402"/>
      <c r="P219" s="355"/>
    </row>
    <row r="220" spans="1:16" s="9" customFormat="1" ht="8.25" customHeight="1">
      <c r="A220" s="355"/>
      <c r="B220" s="355"/>
      <c r="C220" s="355"/>
      <c r="D220" s="355"/>
      <c r="E220" s="355"/>
      <c r="F220" s="355"/>
      <c r="G220" s="355"/>
      <c r="H220" s="355"/>
      <c r="I220" s="355"/>
      <c r="J220" s="355"/>
      <c r="K220" s="355"/>
      <c r="L220" s="355"/>
      <c r="M220" s="355"/>
      <c r="N220" s="355"/>
      <c r="O220" s="355"/>
      <c r="P220" s="355"/>
    </row>
    <row r="221" spans="1:16" s="9" customFormat="1">
      <c r="A221" s="18" t="s">
        <v>65</v>
      </c>
      <c r="B221" s="355"/>
      <c r="C221" s="355"/>
      <c r="D221" s="355"/>
      <c r="E221" s="355"/>
      <c r="F221" s="355"/>
      <c r="G221" s="355"/>
      <c r="H221" s="355"/>
      <c r="I221" s="355"/>
      <c r="J221" s="384"/>
      <c r="K221" s="384"/>
      <c r="L221" s="384"/>
      <c r="M221" s="384"/>
      <c r="N221" s="384"/>
      <c r="O221" s="384"/>
      <c r="P221" s="355"/>
    </row>
    <row r="222" spans="1:16" s="9" customFormat="1" ht="48" customHeight="1">
      <c r="A222" s="402" t="s">
        <v>367</v>
      </c>
      <c r="B222" s="403"/>
      <c r="C222" s="403"/>
      <c r="D222" s="403"/>
      <c r="E222" s="403"/>
      <c r="F222" s="403"/>
      <c r="G222" s="403"/>
      <c r="H222" s="403"/>
      <c r="I222" s="403"/>
      <c r="J222" s="403"/>
      <c r="K222" s="403"/>
      <c r="L222" s="403"/>
      <c r="M222" s="403"/>
      <c r="N222" s="403"/>
      <c r="O222" s="403"/>
      <c r="P222" s="355"/>
    </row>
    <row r="223" spans="1:16" s="9" customFormat="1">
      <c r="A223" s="355"/>
      <c r="B223" s="355"/>
      <c r="C223" s="355"/>
      <c r="D223" s="355"/>
      <c r="E223" s="355"/>
      <c r="F223" s="355"/>
      <c r="G223" s="355"/>
      <c r="H223" s="355"/>
      <c r="I223" s="355"/>
      <c r="J223" s="355"/>
      <c r="K223" s="355"/>
      <c r="L223" s="355"/>
      <c r="M223" s="355"/>
      <c r="N223" s="355"/>
      <c r="O223" s="355"/>
      <c r="P223" s="355"/>
    </row>
    <row r="224" spans="1:16" s="10" customFormat="1">
      <c r="A224" s="10" t="s">
        <v>368</v>
      </c>
    </row>
    <row r="225" spans="1:15" s="10" customFormat="1"/>
    <row r="226" spans="1:15" s="10" customFormat="1" ht="46.5" customHeight="1">
      <c r="A226" s="397" t="s">
        <v>66</v>
      </c>
      <c r="B226" s="397"/>
      <c r="C226" s="397"/>
      <c r="D226" s="397" t="s">
        <v>67</v>
      </c>
      <c r="E226" s="397"/>
      <c r="F226" s="397"/>
      <c r="G226" s="397"/>
      <c r="H226" s="404" t="s">
        <v>302</v>
      </c>
      <c r="I226" s="404"/>
      <c r="J226" s="404"/>
      <c r="K226" s="404"/>
      <c r="L226" s="404"/>
      <c r="M226" s="404"/>
    </row>
    <row r="227" spans="1:15" s="10" customFormat="1">
      <c r="A227" s="390">
        <v>1</v>
      </c>
      <c r="B227" s="390"/>
      <c r="C227" s="390"/>
      <c r="D227" s="390">
        <v>2</v>
      </c>
      <c r="E227" s="390"/>
      <c r="F227" s="390"/>
      <c r="G227" s="390"/>
      <c r="H227" s="390">
        <v>3</v>
      </c>
      <c r="I227" s="390"/>
      <c r="J227" s="390"/>
      <c r="K227" s="390"/>
      <c r="L227" s="390"/>
      <c r="M227" s="390"/>
    </row>
    <row r="228" spans="1:15" s="10" customFormat="1">
      <c r="A228" s="391" t="s">
        <v>369</v>
      </c>
      <c r="B228" s="392"/>
      <c r="C228" s="393"/>
      <c r="D228" s="394" t="s">
        <v>370</v>
      </c>
      <c r="E228" s="395"/>
      <c r="F228" s="395"/>
      <c r="G228" s="396"/>
      <c r="H228" s="397" t="s">
        <v>267</v>
      </c>
      <c r="I228" s="397"/>
      <c r="J228" s="397"/>
      <c r="K228" s="397"/>
      <c r="L228" s="397"/>
      <c r="M228" s="397"/>
    </row>
    <row r="229" spans="1:15" s="10" customFormat="1">
      <c r="A229" s="398"/>
      <c r="B229" s="399"/>
      <c r="C229" s="400"/>
      <c r="D229" s="398"/>
      <c r="E229" s="399"/>
      <c r="F229" s="399"/>
      <c r="G229" s="400"/>
      <c r="H229" s="397"/>
      <c r="I229" s="397"/>
      <c r="J229" s="397"/>
      <c r="K229" s="397"/>
      <c r="L229" s="397"/>
      <c r="M229" s="397"/>
    </row>
    <row r="230" spans="1:15" s="9" customFormat="1"/>
    <row r="231" spans="1:15" s="9" customFormat="1"/>
    <row r="232" spans="1:15" ht="63" customHeight="1">
      <c r="A232" s="1" t="s">
        <v>68</v>
      </c>
      <c r="G232" s="383" t="s">
        <v>316</v>
      </c>
      <c r="H232" s="383"/>
      <c r="I232" s="383"/>
      <c r="J232" s="383"/>
      <c r="K232" s="383"/>
      <c r="L232" s="383"/>
      <c r="M232" s="383"/>
      <c r="N232" s="383"/>
      <c r="O232" s="383"/>
    </row>
    <row r="233" spans="1:15">
      <c r="A233" s="1" t="s">
        <v>69</v>
      </c>
      <c r="H233" s="384" t="s">
        <v>280</v>
      </c>
      <c r="I233" s="384"/>
      <c r="J233" s="384"/>
      <c r="K233" s="384"/>
      <c r="L233" s="384"/>
      <c r="M233" s="384"/>
      <c r="N233" s="384"/>
      <c r="O233" s="384"/>
    </row>
    <row r="234" spans="1:15" ht="28.5" customHeight="1">
      <c r="A234" s="1" t="s">
        <v>70</v>
      </c>
      <c r="G234" s="385" t="s">
        <v>317</v>
      </c>
      <c r="H234" s="386"/>
      <c r="I234" s="386"/>
      <c r="J234" s="386"/>
      <c r="K234" s="386"/>
      <c r="L234" s="386"/>
      <c r="M234" s="386"/>
      <c r="N234" s="386"/>
      <c r="O234" s="386"/>
    </row>
    <row r="235" spans="1:15" s="365" customFormat="1" ht="17.25" customHeight="1">
      <c r="A235" s="365" t="s">
        <v>371</v>
      </c>
      <c r="G235" s="366"/>
      <c r="H235" s="367"/>
      <c r="I235" s="367"/>
      <c r="J235" s="367"/>
      <c r="K235" s="367"/>
      <c r="L235" s="367"/>
      <c r="M235" s="367"/>
      <c r="N235" s="367"/>
      <c r="O235" s="367"/>
    </row>
    <row r="236" spans="1:15" s="365" customFormat="1" ht="17.25" customHeight="1">
      <c r="G236" s="366"/>
      <c r="H236" s="367"/>
      <c r="I236" s="367"/>
      <c r="J236" s="367"/>
      <c r="K236" s="367"/>
      <c r="L236" s="367"/>
      <c r="M236" s="367"/>
      <c r="N236" s="367"/>
      <c r="O236" s="367"/>
    </row>
    <row r="237" spans="1:15">
      <c r="A237" s="1" t="s">
        <v>71</v>
      </c>
      <c r="G237" s="384"/>
      <c r="H237" s="387"/>
      <c r="I237" s="387"/>
      <c r="J237" s="387"/>
      <c r="K237" s="387"/>
      <c r="L237" s="387"/>
      <c r="M237" s="387"/>
      <c r="N237" s="387"/>
      <c r="O237" s="387"/>
    </row>
    <row r="238" spans="1:15">
      <c r="A238" s="384"/>
      <c r="B238" s="384"/>
      <c r="C238" s="384"/>
      <c r="D238" s="384"/>
      <c r="E238" s="384"/>
      <c r="F238" s="384"/>
      <c r="G238" s="384"/>
      <c r="H238" s="384"/>
      <c r="I238" s="384"/>
      <c r="J238" s="384"/>
      <c r="K238" s="384"/>
      <c r="L238" s="384"/>
      <c r="M238" s="384"/>
      <c r="N238" s="384"/>
      <c r="O238" s="384"/>
    </row>
    <row r="240" spans="1:15">
      <c r="A240" s="1" t="s">
        <v>372</v>
      </c>
      <c r="G240" s="384"/>
      <c r="H240" s="384"/>
      <c r="I240" s="384"/>
      <c r="J240" s="384"/>
      <c r="K240" s="384"/>
      <c r="L240" s="384"/>
      <c r="M240" s="384"/>
      <c r="N240" s="384"/>
      <c r="O240" s="384"/>
    </row>
    <row r="241" spans="1:18">
      <c r="A241" s="384"/>
      <c r="B241" s="384"/>
      <c r="C241" s="384"/>
      <c r="D241" s="384"/>
      <c r="E241" s="384"/>
      <c r="F241" s="384"/>
      <c r="G241" s="384"/>
      <c r="H241" s="384"/>
      <c r="I241" s="384"/>
      <c r="J241" s="384"/>
      <c r="K241" s="384"/>
      <c r="L241" s="384"/>
      <c r="M241" s="384"/>
      <c r="N241" s="384"/>
      <c r="O241" s="384"/>
    </row>
    <row r="244" spans="1:18" ht="12.6" customHeight="1"/>
    <row r="245" spans="1:18" s="368" customFormat="1" ht="11.25" customHeight="1">
      <c r="A245" s="388" t="s">
        <v>373</v>
      </c>
      <c r="B245" s="388"/>
      <c r="C245" s="388"/>
      <c r="D245" s="388"/>
      <c r="E245" s="388"/>
      <c r="F245" s="388"/>
      <c r="G245" s="388"/>
      <c r="H245" s="388"/>
      <c r="I245" s="388"/>
      <c r="J245" s="388"/>
      <c r="K245" s="388"/>
      <c r="L245" s="388"/>
      <c r="M245" s="388"/>
      <c r="N245" s="388"/>
      <c r="O245" s="388"/>
      <c r="P245" s="388"/>
      <c r="Q245" s="388"/>
      <c r="R245" s="388"/>
    </row>
    <row r="246" spans="1:18" s="368" customFormat="1" ht="24.75" customHeight="1">
      <c r="A246" s="389" t="s">
        <v>374</v>
      </c>
      <c r="B246" s="389"/>
      <c r="C246" s="389"/>
      <c r="D246" s="389"/>
      <c r="E246" s="389"/>
      <c r="F246" s="389"/>
      <c r="G246" s="389"/>
      <c r="H246" s="389"/>
      <c r="I246" s="389"/>
      <c r="J246" s="389"/>
      <c r="K246" s="389"/>
      <c r="L246" s="389"/>
      <c r="M246" s="389"/>
      <c r="N246" s="389"/>
      <c r="O246" s="389"/>
      <c r="P246" s="389"/>
      <c r="Q246" s="389"/>
      <c r="R246" s="389"/>
    </row>
    <row r="247" spans="1:18" s="368" customFormat="1" ht="35.25" customHeight="1">
      <c r="A247" s="382" t="s">
        <v>375</v>
      </c>
      <c r="B247" s="382"/>
      <c r="C247" s="382"/>
      <c r="D247" s="382"/>
      <c r="E247" s="382"/>
      <c r="F247" s="382"/>
      <c r="G247" s="382"/>
      <c r="H247" s="382"/>
      <c r="I247" s="382"/>
      <c r="J247" s="382"/>
      <c r="K247" s="382"/>
      <c r="L247" s="382"/>
      <c r="M247" s="382"/>
      <c r="N247" s="382"/>
      <c r="O247" s="382"/>
      <c r="P247" s="382"/>
      <c r="Q247" s="382"/>
      <c r="R247" s="382"/>
    </row>
    <row r="248" spans="1:18" s="368" customFormat="1" ht="12">
      <c r="A248" s="368" t="s">
        <v>376</v>
      </c>
    </row>
    <row r="249" spans="1:18" s="368" customFormat="1" ht="12">
      <c r="A249" s="368" t="s">
        <v>377</v>
      </c>
    </row>
    <row r="250" spans="1:18" s="368" customFormat="1" ht="29.25" customHeight="1">
      <c r="A250" s="382" t="s">
        <v>378</v>
      </c>
      <c r="B250" s="382"/>
      <c r="C250" s="382"/>
      <c r="D250" s="382"/>
      <c r="E250" s="382"/>
      <c r="F250" s="382"/>
      <c r="G250" s="382"/>
      <c r="H250" s="382"/>
      <c r="I250" s="382"/>
      <c r="J250" s="382"/>
      <c r="K250" s="382"/>
      <c r="L250" s="382"/>
      <c r="M250" s="382"/>
      <c r="N250" s="382"/>
      <c r="O250" s="382"/>
      <c r="P250" s="382"/>
      <c r="Q250" s="382"/>
      <c r="R250" s="382"/>
    </row>
    <row r="251" spans="1:18" s="368" customFormat="1" ht="29.25" customHeight="1">
      <c r="A251" s="382" t="s">
        <v>379</v>
      </c>
      <c r="B251" s="382"/>
      <c r="C251" s="382"/>
      <c r="D251" s="382"/>
      <c r="E251" s="382"/>
      <c r="F251" s="382"/>
      <c r="G251" s="382"/>
      <c r="H251" s="382"/>
      <c r="I251" s="382"/>
      <c r="J251" s="382"/>
      <c r="K251" s="382"/>
      <c r="L251" s="382"/>
      <c r="M251" s="382"/>
      <c r="N251" s="382"/>
      <c r="O251" s="382"/>
      <c r="P251" s="382"/>
      <c r="Q251" s="382"/>
      <c r="R251" s="382"/>
    </row>
    <row r="252" spans="1:18" s="368" customFormat="1" ht="12">
      <c r="A252" s="368" t="s">
        <v>380</v>
      </c>
    </row>
    <row r="253" spans="1:18" s="368" customFormat="1" ht="73.5" customHeight="1">
      <c r="A253" s="382" t="s">
        <v>381</v>
      </c>
      <c r="B253" s="382"/>
      <c r="C253" s="382"/>
      <c r="D253" s="382"/>
      <c r="E253" s="382"/>
      <c r="F253" s="382"/>
      <c r="G253" s="382"/>
      <c r="H253" s="382"/>
      <c r="I253" s="382"/>
      <c r="J253" s="382"/>
      <c r="K253" s="382"/>
      <c r="L253" s="382"/>
      <c r="M253" s="382"/>
      <c r="N253" s="382"/>
      <c r="O253" s="382"/>
      <c r="P253" s="382"/>
      <c r="Q253" s="382"/>
      <c r="R253" s="382"/>
    </row>
  </sheetData>
  <mergeCells count="322">
    <mergeCell ref="B69:D69"/>
    <mergeCell ref="G69:M69"/>
    <mergeCell ref="C49:C50"/>
    <mergeCell ref="D49:D50"/>
    <mergeCell ref="E49:E50"/>
    <mergeCell ref="F49:F50"/>
    <mergeCell ref="H48:J48"/>
    <mergeCell ref="N49:N50"/>
    <mergeCell ref="P49:P50"/>
    <mergeCell ref="A65:M65"/>
    <mergeCell ref="A48:B50"/>
    <mergeCell ref="C48:E48"/>
    <mergeCell ref="F48:G48"/>
    <mergeCell ref="A160:C160"/>
    <mergeCell ref="D160:G160"/>
    <mergeCell ref="H160:K160"/>
    <mergeCell ref="G49:G50"/>
    <mergeCell ref="H49:H50"/>
    <mergeCell ref="I49:J49"/>
    <mergeCell ref="A51:B51"/>
    <mergeCell ref="G66:M66"/>
    <mergeCell ref="B67:D67"/>
    <mergeCell ref="G67:M67"/>
    <mergeCell ref="B68:D68"/>
    <mergeCell ref="G68:M68"/>
    <mergeCell ref="K49:K50"/>
    <mergeCell ref="A52:B52"/>
    <mergeCell ref="A152:L152"/>
    <mergeCell ref="A157:C157"/>
    <mergeCell ref="D157:G157"/>
    <mergeCell ref="H157:K157"/>
    <mergeCell ref="B66:D66"/>
    <mergeCell ref="A158:C158"/>
    <mergeCell ref="D158:G158"/>
    <mergeCell ref="H158:K158"/>
    <mergeCell ref="A159:C159"/>
    <mergeCell ref="D159:G159"/>
    <mergeCell ref="A27:L27"/>
    <mergeCell ref="A29:N29"/>
    <mergeCell ref="A30:N30"/>
    <mergeCell ref="A36:B38"/>
    <mergeCell ref="N37:N38"/>
    <mergeCell ref="H40:I40"/>
    <mergeCell ref="J40:K40"/>
    <mergeCell ref="A39:B39"/>
    <mergeCell ref="M26:N28"/>
    <mergeCell ref="H159:K159"/>
    <mergeCell ref="A8:P8"/>
    <mergeCell ref="A9:P9"/>
    <mergeCell ref="O12:P12"/>
    <mergeCell ref="O11:P11"/>
    <mergeCell ref="M11:N11"/>
    <mergeCell ref="O10:P10"/>
    <mergeCell ref="O17:P17"/>
    <mergeCell ref="O18:P19"/>
    <mergeCell ref="M14:N14"/>
    <mergeCell ref="A17:L17"/>
    <mergeCell ref="A19:L19"/>
    <mergeCell ref="A14:L14"/>
    <mergeCell ref="A16:L16"/>
    <mergeCell ref="O15:P15"/>
    <mergeCell ref="O16:P16"/>
    <mergeCell ref="M12:N12"/>
    <mergeCell ref="M13:N13"/>
    <mergeCell ref="O13:P13"/>
    <mergeCell ref="O14:P14"/>
    <mergeCell ref="A77:M77"/>
    <mergeCell ref="A78:M78"/>
    <mergeCell ref="A79:M79"/>
    <mergeCell ref="A81:L81"/>
    <mergeCell ref="A86:C86"/>
    <mergeCell ref="D86:G86"/>
    <mergeCell ref="H86:K86"/>
    <mergeCell ref="A87:C87"/>
    <mergeCell ref="A20:J20"/>
    <mergeCell ref="C36:E36"/>
    <mergeCell ref="F36:G36"/>
    <mergeCell ref="H36:L36"/>
    <mergeCell ref="M36:P36"/>
    <mergeCell ref="O40:P40"/>
    <mergeCell ref="A41:B41"/>
    <mergeCell ref="H41:I41"/>
    <mergeCell ref="J41:K41"/>
    <mergeCell ref="O41:P41"/>
    <mergeCell ref="J37:L37"/>
    <mergeCell ref="M37:M38"/>
    <mergeCell ref="A23:P23"/>
    <mergeCell ref="O37:P38"/>
    <mergeCell ref="J38:K38"/>
    <mergeCell ref="D87:G87"/>
    <mergeCell ref="H87:K87"/>
    <mergeCell ref="A24:P24"/>
    <mergeCell ref="E26:L26"/>
    <mergeCell ref="O26:P28"/>
    <mergeCell ref="Q36:R36"/>
    <mergeCell ref="Q37:Q38"/>
    <mergeCell ref="R37:R38"/>
    <mergeCell ref="Q48:R48"/>
    <mergeCell ref="Q49:Q50"/>
    <mergeCell ref="R49:R50"/>
    <mergeCell ref="A75:P75"/>
    <mergeCell ref="A76:M76"/>
    <mergeCell ref="H39:I39"/>
    <mergeCell ref="J39:K39"/>
    <mergeCell ref="O39:P39"/>
    <mergeCell ref="C37:C38"/>
    <mergeCell ref="D37:D38"/>
    <mergeCell ref="E37:E38"/>
    <mergeCell ref="F37:F38"/>
    <mergeCell ref="G37:G38"/>
    <mergeCell ref="H37:I38"/>
    <mergeCell ref="A40:B40"/>
    <mergeCell ref="A53:B53"/>
    <mergeCell ref="K48:M48"/>
    <mergeCell ref="L49:L50"/>
    <mergeCell ref="M49:M50"/>
    <mergeCell ref="N48:P48"/>
    <mergeCell ref="O49:O50"/>
    <mergeCell ref="A88:C88"/>
    <mergeCell ref="D88:G88"/>
    <mergeCell ref="H88:K88"/>
    <mergeCell ref="A89:C89"/>
    <mergeCell ref="D89:G89"/>
    <mergeCell ref="H89:K89"/>
    <mergeCell ref="A91:P91"/>
    <mergeCell ref="E93:L93"/>
    <mergeCell ref="M93:N95"/>
    <mergeCell ref="O93:P95"/>
    <mergeCell ref="A94:L94"/>
    <mergeCell ref="A96:N96"/>
    <mergeCell ref="A97:N97"/>
    <mergeCell ref="A103:B105"/>
    <mergeCell ref="C103:E103"/>
    <mergeCell ref="F103:G103"/>
    <mergeCell ref="H103:L103"/>
    <mergeCell ref="M103:P103"/>
    <mergeCell ref="J105:K105"/>
    <mergeCell ref="Q103:R103"/>
    <mergeCell ref="C104:C105"/>
    <mergeCell ref="D104:D105"/>
    <mergeCell ref="E104:E105"/>
    <mergeCell ref="F104:F105"/>
    <mergeCell ref="G104:G105"/>
    <mergeCell ref="H104:I105"/>
    <mergeCell ref="J104:L104"/>
    <mergeCell ref="M104:M105"/>
    <mergeCell ref="N104:N105"/>
    <mergeCell ref="O104:P105"/>
    <mergeCell ref="Q104:Q105"/>
    <mergeCell ref="R104:R105"/>
    <mergeCell ref="A106:B106"/>
    <mergeCell ref="H106:I106"/>
    <mergeCell ref="J106:K106"/>
    <mergeCell ref="O106:P106"/>
    <mergeCell ref="A107:B107"/>
    <mergeCell ref="H107:I107"/>
    <mergeCell ref="J107:K107"/>
    <mergeCell ref="O107:P107"/>
    <mergeCell ref="A108:B108"/>
    <mergeCell ref="H108:I108"/>
    <mergeCell ref="J108:K108"/>
    <mergeCell ref="O108:P108"/>
    <mergeCell ref="A109:B109"/>
    <mergeCell ref="H109:I109"/>
    <mergeCell ref="J109:K109"/>
    <mergeCell ref="O109:P109"/>
    <mergeCell ref="A110:B110"/>
    <mergeCell ref="H110:I110"/>
    <mergeCell ref="J110:K110"/>
    <mergeCell ref="O110:P110"/>
    <mergeCell ref="A118:B120"/>
    <mergeCell ref="C118:E118"/>
    <mergeCell ref="F118:G118"/>
    <mergeCell ref="H118:J118"/>
    <mergeCell ref="K118:M118"/>
    <mergeCell ref="N118:P118"/>
    <mergeCell ref="Q118:R118"/>
    <mergeCell ref="C119:C120"/>
    <mergeCell ref="D119:D120"/>
    <mergeCell ref="E119:E120"/>
    <mergeCell ref="F119:F120"/>
    <mergeCell ref="G119:G120"/>
    <mergeCell ref="H119:H120"/>
    <mergeCell ref="I119:J119"/>
    <mergeCell ref="K119:K120"/>
    <mergeCell ref="L119:L120"/>
    <mergeCell ref="M119:M120"/>
    <mergeCell ref="N119:N120"/>
    <mergeCell ref="O119:O120"/>
    <mergeCell ref="P119:P120"/>
    <mergeCell ref="Q119:Q120"/>
    <mergeCell ref="R119:R120"/>
    <mergeCell ref="A121:B121"/>
    <mergeCell ref="A122:B122"/>
    <mergeCell ref="A123:B123"/>
    <mergeCell ref="A124:B124"/>
    <mergeCell ref="A125:B125"/>
    <mergeCell ref="A137:M137"/>
    <mergeCell ref="B138:D138"/>
    <mergeCell ref="G138:M138"/>
    <mergeCell ref="B139:D139"/>
    <mergeCell ref="G139:M139"/>
    <mergeCell ref="B140:D140"/>
    <mergeCell ref="G140:M140"/>
    <mergeCell ref="B141:D141"/>
    <mergeCell ref="G141:M141"/>
    <mergeCell ref="A147:P147"/>
    <mergeCell ref="A148:M148"/>
    <mergeCell ref="A149:M149"/>
    <mergeCell ref="A150:M150"/>
    <mergeCell ref="A151:M151"/>
    <mergeCell ref="A163:P163"/>
    <mergeCell ref="A164:P164"/>
    <mergeCell ref="C166:L166"/>
    <mergeCell ref="O166:P168"/>
    <mergeCell ref="A167:L167"/>
    <mergeCell ref="D168:M168"/>
    <mergeCell ref="A169:M169"/>
    <mergeCell ref="A175:B177"/>
    <mergeCell ref="C175:E175"/>
    <mergeCell ref="F175:G175"/>
    <mergeCell ref="H175:L175"/>
    <mergeCell ref="M175:P175"/>
    <mergeCell ref="C176:C177"/>
    <mergeCell ref="D176:D177"/>
    <mergeCell ref="E176:E177"/>
    <mergeCell ref="F176:F177"/>
    <mergeCell ref="G176:G177"/>
    <mergeCell ref="H176:I177"/>
    <mergeCell ref="J176:L176"/>
    <mergeCell ref="M176:M177"/>
    <mergeCell ref="N176:N177"/>
    <mergeCell ref="O176:P177"/>
    <mergeCell ref="J177:K177"/>
    <mergeCell ref="A178:B178"/>
    <mergeCell ref="H178:I178"/>
    <mergeCell ref="J178:K178"/>
    <mergeCell ref="O178:P178"/>
    <mergeCell ref="A179:B179"/>
    <mergeCell ref="H179:I179"/>
    <mergeCell ref="J179:K179"/>
    <mergeCell ref="O179:P179"/>
    <mergeCell ref="A180:B180"/>
    <mergeCell ref="H180:I180"/>
    <mergeCell ref="J180:K180"/>
    <mergeCell ref="O180:P180"/>
    <mergeCell ref="A181:B181"/>
    <mergeCell ref="H181:I181"/>
    <mergeCell ref="J181:K181"/>
    <mergeCell ref="O181:P181"/>
    <mergeCell ref="A182:B182"/>
    <mergeCell ref="H182:I182"/>
    <mergeCell ref="J182:K182"/>
    <mergeCell ref="O182:P182"/>
    <mergeCell ref="A183:B183"/>
    <mergeCell ref="H183:I183"/>
    <mergeCell ref="J183:K183"/>
    <mergeCell ref="O183:P183"/>
    <mergeCell ref="A184:B184"/>
    <mergeCell ref="H184:I184"/>
    <mergeCell ref="J184:K184"/>
    <mergeCell ref="O184:P184"/>
    <mergeCell ref="A185:B185"/>
    <mergeCell ref="H185:I185"/>
    <mergeCell ref="J185:K185"/>
    <mergeCell ref="O185:P185"/>
    <mergeCell ref="A186:B186"/>
    <mergeCell ref="H186:I186"/>
    <mergeCell ref="J186:K186"/>
    <mergeCell ref="O186:P186"/>
    <mergeCell ref="D189:D190"/>
    <mergeCell ref="A194:A196"/>
    <mergeCell ref="B194:D194"/>
    <mergeCell ref="E194:G194"/>
    <mergeCell ref="H194:J194"/>
    <mergeCell ref="K194:M194"/>
    <mergeCell ref="N194:P194"/>
    <mergeCell ref="B195:B196"/>
    <mergeCell ref="C195:C196"/>
    <mergeCell ref="D195:D196"/>
    <mergeCell ref="E195:E196"/>
    <mergeCell ref="F195:F196"/>
    <mergeCell ref="G195:G196"/>
    <mergeCell ref="H195:H196"/>
    <mergeCell ref="I195:J195"/>
    <mergeCell ref="K195:K196"/>
    <mergeCell ref="L195:L196"/>
    <mergeCell ref="M195:M196"/>
    <mergeCell ref="N195:N196"/>
    <mergeCell ref="O195:O196"/>
    <mergeCell ref="P195:P196"/>
    <mergeCell ref="D208:D209"/>
    <mergeCell ref="A216:P216"/>
    <mergeCell ref="I218:O218"/>
    <mergeCell ref="A219:O219"/>
    <mergeCell ref="J221:O221"/>
    <mergeCell ref="A222:O222"/>
    <mergeCell ref="A226:C226"/>
    <mergeCell ref="D226:G226"/>
    <mergeCell ref="H226:M226"/>
    <mergeCell ref="A227:C227"/>
    <mergeCell ref="D227:G227"/>
    <mergeCell ref="H227:M227"/>
    <mergeCell ref="A228:C228"/>
    <mergeCell ref="D228:G228"/>
    <mergeCell ref="H228:M228"/>
    <mergeCell ref="A229:C229"/>
    <mergeCell ref="D229:G229"/>
    <mergeCell ref="H229:M229"/>
    <mergeCell ref="A247:R247"/>
    <mergeCell ref="A250:R250"/>
    <mergeCell ref="A251:R251"/>
    <mergeCell ref="A253:R253"/>
    <mergeCell ref="G232:O232"/>
    <mergeCell ref="H233:O233"/>
    <mergeCell ref="G234:O234"/>
    <mergeCell ref="G237:O237"/>
    <mergeCell ref="A238:O238"/>
    <mergeCell ref="G240:O240"/>
    <mergeCell ref="A241:O241"/>
    <mergeCell ref="A245:R245"/>
    <mergeCell ref="A246:R246"/>
  </mergeCells>
  <pageMargins left="0.16" right="0.16" top="0.33" bottom="0.32" header="0.28000000000000003" footer="0.28999999999999998"/>
  <pageSetup paperSize="9" scale="73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39997558519241921"/>
    <pageSetUpPr fitToPage="1"/>
  </sheetPr>
  <dimension ref="A1:CD144"/>
  <sheetViews>
    <sheetView tabSelected="1" view="pageBreakPreview" topLeftCell="A4" zoomScale="80" zoomScaleSheetLayoutView="80" workbookViewId="0">
      <pane xSplit="2" ySplit="2" topLeftCell="C94" activePane="bottomRight" state="frozen"/>
      <selection activeCell="A4" sqref="A4"/>
      <selection pane="topRight" activeCell="C4" sqref="C4"/>
      <selection pane="bottomLeft" activeCell="A6" sqref="A6"/>
      <selection pane="bottomRight" activeCell="D5" sqref="D1:D1048576"/>
    </sheetView>
  </sheetViews>
  <sheetFormatPr defaultColWidth="9.140625" defaultRowHeight="12.75"/>
  <cols>
    <col min="1" max="1" width="30" style="73" customWidth="1"/>
    <col min="2" max="2" width="10" style="73" customWidth="1"/>
    <col min="3" max="3" width="19" style="73" hidden="1" customWidth="1"/>
    <col min="4" max="4" width="17.42578125" style="73" hidden="1" customWidth="1"/>
    <col min="5" max="5" width="20.42578125" style="73" customWidth="1"/>
    <col min="6" max="6" width="19.5703125" style="75" customWidth="1"/>
    <col min="7" max="7" width="18.28515625" style="75" hidden="1" customWidth="1"/>
    <col min="8" max="8" width="16.7109375" style="75" customWidth="1"/>
    <col min="9" max="9" width="16.140625" style="75" customWidth="1"/>
    <col min="10" max="12" width="15.140625" style="75" customWidth="1"/>
    <col min="13" max="82" width="9.140625" style="75"/>
    <col min="83" max="16384" width="9.140625" style="73"/>
  </cols>
  <sheetData>
    <row r="1" spans="1:11" ht="36.75" customHeight="1">
      <c r="A1" s="539" t="s">
        <v>176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</row>
    <row r="2" spans="1:11" ht="37.5" customHeight="1">
      <c r="A2" s="537" t="s">
        <v>271</v>
      </c>
      <c r="B2" s="537"/>
      <c r="C2" s="537"/>
      <c r="D2" s="547" t="str">
        <f>мун.зад.!A14</f>
        <v>Муниципальное автономное дошкольное образовательное учреждение Центр развития ребенка - детский сад № 150 города Пензы "Алый парус"</v>
      </c>
      <c r="E2" s="547"/>
      <c r="F2" s="547"/>
      <c r="G2" s="547"/>
      <c r="H2" s="547"/>
      <c r="I2" s="547"/>
      <c r="J2" s="547"/>
      <c r="K2" s="547"/>
    </row>
    <row r="3" spans="1:11" ht="60" customHeight="1">
      <c r="A3" s="543" t="s">
        <v>263</v>
      </c>
      <c r="B3" s="544"/>
      <c r="C3" s="545"/>
      <c r="D3" s="142" t="s">
        <v>100</v>
      </c>
      <c r="E3" s="142" t="s">
        <v>257</v>
      </c>
      <c r="F3" s="142" t="s">
        <v>258</v>
      </c>
      <c r="G3" s="143" t="s">
        <v>265</v>
      </c>
      <c r="H3" s="143" t="s">
        <v>259</v>
      </c>
      <c r="I3" s="143" t="s">
        <v>260</v>
      </c>
      <c r="J3" s="143" t="s">
        <v>261</v>
      </c>
      <c r="K3" s="143" t="s">
        <v>262</v>
      </c>
    </row>
    <row r="4" spans="1:11" ht="40.5" customHeight="1">
      <c r="A4" s="546" t="s">
        <v>177</v>
      </c>
      <c r="B4" s="546"/>
      <c r="C4" s="546"/>
      <c r="D4" s="546"/>
      <c r="E4" s="546"/>
      <c r="F4" s="546"/>
      <c r="G4" s="546"/>
      <c r="H4" s="546"/>
      <c r="I4" s="546"/>
      <c r="J4" s="546"/>
      <c r="K4" s="546"/>
    </row>
    <row r="5" spans="1:11" ht="40.5" customHeight="1">
      <c r="A5" s="144" t="s">
        <v>264</v>
      </c>
      <c r="B5" s="115"/>
      <c r="C5" s="176"/>
      <c r="D5" s="115">
        <f>'проверка 2018'!I12+'проверка 2018'!J12</f>
        <v>630</v>
      </c>
      <c r="E5" s="115">
        <f>'проверка 2018'!I12</f>
        <v>87</v>
      </c>
      <c r="F5" s="115">
        <f>'проверка 2018'!J12</f>
        <v>543</v>
      </c>
      <c r="G5" s="115">
        <f>SUM(H5:K5)</f>
        <v>630</v>
      </c>
      <c r="H5" s="115">
        <f>'проверка 2018'!H24</f>
        <v>86</v>
      </c>
      <c r="I5" s="115">
        <f>'проверка 2018'!I24</f>
        <v>541</v>
      </c>
      <c r="J5" s="115">
        <f>'проверка 2018'!J24</f>
        <v>1</v>
      </c>
      <c r="K5" s="115">
        <f>'проверка 2018'!K24</f>
        <v>2</v>
      </c>
    </row>
    <row r="6" spans="1:11" ht="9" customHeight="1">
      <c r="A6" s="157"/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1" ht="69" customHeight="1">
      <c r="A7" s="158" t="s">
        <v>178</v>
      </c>
      <c r="B7" s="158" t="s">
        <v>179</v>
      </c>
      <c r="C7" s="158" t="s">
        <v>181</v>
      </c>
      <c r="D7" s="158" t="s">
        <v>181</v>
      </c>
      <c r="E7" s="158" t="s">
        <v>180</v>
      </c>
      <c r="F7" s="158" t="s">
        <v>180</v>
      </c>
      <c r="G7" s="158" t="s">
        <v>181</v>
      </c>
      <c r="H7" s="158" t="s">
        <v>180</v>
      </c>
      <c r="I7" s="158" t="s">
        <v>180</v>
      </c>
      <c r="J7" s="158" t="s">
        <v>180</v>
      </c>
      <c r="K7" s="158" t="s">
        <v>180</v>
      </c>
    </row>
    <row r="8" spans="1:11" ht="42.75" customHeight="1">
      <c r="A8" s="535" t="s">
        <v>182</v>
      </c>
      <c r="B8" s="536"/>
      <c r="C8" s="536"/>
      <c r="D8" s="536"/>
      <c r="E8" s="536"/>
      <c r="F8" s="536"/>
      <c r="G8" s="536"/>
      <c r="H8" s="536"/>
      <c r="I8" s="536"/>
      <c r="J8" s="536"/>
      <c r="K8" s="536"/>
    </row>
    <row r="9" spans="1:11" ht="37.5" customHeight="1">
      <c r="A9" s="159" t="s">
        <v>183</v>
      </c>
      <c r="B9" s="146" t="s">
        <v>184</v>
      </c>
      <c r="C9" s="178">
        <f>C16+C22</f>
        <v>14091260.99</v>
      </c>
      <c r="D9" s="178">
        <f t="shared" ref="D9:K9" si="0">D16+D22</f>
        <v>14091260.99</v>
      </c>
      <c r="E9" s="178">
        <f>E16+E22</f>
        <v>22367.08</v>
      </c>
      <c r="F9" s="178">
        <f>F16+F22</f>
        <v>22367.08</v>
      </c>
      <c r="G9" s="178">
        <f t="shared" si="0"/>
        <v>0</v>
      </c>
      <c r="H9" s="178">
        <f>H16+H22</f>
        <v>0</v>
      </c>
      <c r="I9" s="178">
        <f t="shared" si="0"/>
        <v>0</v>
      </c>
      <c r="J9" s="178">
        <f t="shared" si="0"/>
        <v>0</v>
      </c>
      <c r="K9" s="178">
        <f t="shared" si="0"/>
        <v>0</v>
      </c>
    </row>
    <row r="10" spans="1:11" ht="48" customHeight="1">
      <c r="A10" s="159" t="s">
        <v>185</v>
      </c>
      <c r="B10" s="146" t="s">
        <v>184</v>
      </c>
      <c r="C10" s="178">
        <f>C17+C23</f>
        <v>4255560.8199999994</v>
      </c>
      <c r="D10" s="178">
        <f t="shared" ref="D10:K10" si="1">D17+D23</f>
        <v>4255560.8199999994</v>
      </c>
      <c r="E10" s="178">
        <f>E17+E23</f>
        <v>6754.86</v>
      </c>
      <c r="F10" s="178">
        <f>F17+F23</f>
        <v>6754.86</v>
      </c>
      <c r="G10" s="178">
        <f t="shared" si="1"/>
        <v>0</v>
      </c>
      <c r="H10" s="178">
        <f>H17+H23</f>
        <v>0</v>
      </c>
      <c r="I10" s="178">
        <f t="shared" si="1"/>
        <v>0</v>
      </c>
      <c r="J10" s="178">
        <f t="shared" si="1"/>
        <v>0</v>
      </c>
      <c r="K10" s="178">
        <f t="shared" si="1"/>
        <v>0</v>
      </c>
    </row>
    <row r="11" spans="1:11" ht="45">
      <c r="A11" s="160" t="s">
        <v>186</v>
      </c>
      <c r="B11" s="146" t="s">
        <v>184</v>
      </c>
      <c r="C11" s="178">
        <f>C18</f>
        <v>200234</v>
      </c>
      <c r="D11" s="178">
        <f t="shared" ref="D11:K11" si="2">D18</f>
        <v>200234</v>
      </c>
      <c r="E11" s="178">
        <f>E18</f>
        <v>317.83</v>
      </c>
      <c r="F11" s="178">
        <f>F18</f>
        <v>317.83</v>
      </c>
      <c r="G11" s="178">
        <f t="shared" si="2"/>
        <v>0</v>
      </c>
      <c r="H11" s="178">
        <f>H18</f>
        <v>0</v>
      </c>
      <c r="I11" s="178">
        <f t="shared" si="2"/>
        <v>0</v>
      </c>
      <c r="J11" s="178">
        <f t="shared" si="2"/>
        <v>0</v>
      </c>
      <c r="K11" s="178">
        <f t="shared" si="2"/>
        <v>0</v>
      </c>
    </row>
    <row r="12" spans="1:11" ht="22.5">
      <c r="A12" s="161" t="s">
        <v>187</v>
      </c>
      <c r="B12" s="146" t="s">
        <v>184</v>
      </c>
      <c r="C12" s="178">
        <f>C19</f>
        <v>24077</v>
      </c>
      <c r="D12" s="178">
        <f t="shared" ref="D12:K12" si="3">D19</f>
        <v>24077</v>
      </c>
      <c r="E12" s="178">
        <f>E19</f>
        <v>38.22</v>
      </c>
      <c r="F12" s="178">
        <f>F19</f>
        <v>38.22</v>
      </c>
      <c r="G12" s="178">
        <f t="shared" si="3"/>
        <v>0</v>
      </c>
      <c r="H12" s="178">
        <f>H19</f>
        <v>0</v>
      </c>
      <c r="I12" s="178">
        <f t="shared" si="3"/>
        <v>0</v>
      </c>
      <c r="J12" s="178">
        <f t="shared" si="3"/>
        <v>0</v>
      </c>
      <c r="K12" s="178">
        <f t="shared" si="3"/>
        <v>0</v>
      </c>
    </row>
    <row r="13" spans="1:11" ht="25.5" customHeight="1">
      <c r="A13" s="159" t="s">
        <v>194</v>
      </c>
      <c r="B13" s="146" t="s">
        <v>184</v>
      </c>
      <c r="C13" s="178">
        <f>C24</f>
        <v>4800</v>
      </c>
      <c r="D13" s="178"/>
      <c r="E13" s="178"/>
      <c r="F13" s="178"/>
      <c r="G13" s="178">
        <f>G24</f>
        <v>4800</v>
      </c>
      <c r="H13" s="178">
        <f t="shared" ref="H13:K13" si="4">H24</f>
        <v>7.62</v>
      </c>
      <c r="I13" s="178">
        <f t="shared" si="4"/>
        <v>7.62</v>
      </c>
      <c r="J13" s="178">
        <f t="shared" si="4"/>
        <v>7.62</v>
      </c>
      <c r="K13" s="178">
        <f t="shared" si="4"/>
        <v>7.62</v>
      </c>
    </row>
    <row r="14" spans="1:11">
      <c r="A14" s="177" t="s">
        <v>124</v>
      </c>
      <c r="B14" s="173"/>
      <c r="C14" s="180">
        <f>SUM(C9:C13)</f>
        <v>18575932.809999999</v>
      </c>
      <c r="D14" s="180">
        <f t="shared" ref="D14:K14" si="5">SUM(D9:D13)</f>
        <v>18571132.809999999</v>
      </c>
      <c r="E14" s="180">
        <f t="shared" si="5"/>
        <v>29477.990000000005</v>
      </c>
      <c r="F14" s="180">
        <f t="shared" si="5"/>
        <v>29477.990000000005</v>
      </c>
      <c r="G14" s="180">
        <f t="shared" si="5"/>
        <v>4800</v>
      </c>
      <c r="H14" s="180">
        <f t="shared" si="5"/>
        <v>7.62</v>
      </c>
      <c r="I14" s="180">
        <f t="shared" si="5"/>
        <v>7.62</v>
      </c>
      <c r="J14" s="180">
        <f t="shared" si="5"/>
        <v>7.62</v>
      </c>
      <c r="K14" s="180">
        <f t="shared" si="5"/>
        <v>7.62</v>
      </c>
    </row>
    <row r="15" spans="1:11" ht="45" customHeight="1">
      <c r="A15" s="541" t="s">
        <v>188</v>
      </c>
      <c r="B15" s="542"/>
      <c r="C15" s="542"/>
      <c r="D15" s="542"/>
      <c r="E15" s="542"/>
      <c r="F15" s="542"/>
      <c r="G15" s="542"/>
      <c r="H15" s="542"/>
      <c r="I15" s="542"/>
      <c r="J15" s="542"/>
      <c r="K15" s="542"/>
    </row>
    <row r="16" spans="1:11" ht="37.5" customHeight="1">
      <c r="A16" s="159" t="s">
        <v>183</v>
      </c>
      <c r="B16" s="146" t="s">
        <v>184</v>
      </c>
      <c r="C16" s="178">
        <f>'прил.1+2'!G13</f>
        <v>14091260.99</v>
      </c>
      <c r="D16" s="178">
        <f>'прил.1+2'!G13</f>
        <v>14091260.99</v>
      </c>
      <c r="E16" s="178">
        <f>ROUND('проверка 2018'!M15/E5,2)</f>
        <v>22367.08</v>
      </c>
      <c r="F16" s="179">
        <f>ROUND('проверка 2018'!O15/F5,2)</f>
        <v>22367.08</v>
      </c>
      <c r="G16" s="179"/>
      <c r="H16" s="179">
        <f t="shared" ref="H16:K19" si="6">IF(H$5&lt;=0,0,IF($G16=0,0,ROUND($G16/($H$5+$I$5+$J$5+$K$5),2)))</f>
        <v>0</v>
      </c>
      <c r="I16" s="179">
        <f t="shared" si="6"/>
        <v>0</v>
      </c>
      <c r="J16" s="179">
        <f t="shared" si="6"/>
        <v>0</v>
      </c>
      <c r="K16" s="179">
        <f t="shared" si="6"/>
        <v>0</v>
      </c>
    </row>
    <row r="17" spans="1:82" ht="48.75" customHeight="1">
      <c r="A17" s="159" t="s">
        <v>185</v>
      </c>
      <c r="B17" s="146" t="s">
        <v>184</v>
      </c>
      <c r="C17" s="215">
        <f>'прил.1+2'!H13+'прил.1+2'!E23+'прил.1+2'!E24</f>
        <v>4255560.8199999994</v>
      </c>
      <c r="D17" s="305">
        <f>'прил.1+2'!H13+'прил.1+2'!E23+'прил.1+2'!E24</f>
        <v>4255560.8199999994</v>
      </c>
      <c r="E17" s="178">
        <f>ROUND('проверка 2018'!M16/E5,2)</f>
        <v>6754.86</v>
      </c>
      <c r="F17" s="179">
        <f>ROUND('проверка 2018'!O16/F5,2)</f>
        <v>6754.86</v>
      </c>
      <c r="G17" s="179"/>
      <c r="H17" s="179">
        <f t="shared" si="6"/>
        <v>0</v>
      </c>
      <c r="I17" s="179">
        <f t="shared" si="6"/>
        <v>0</v>
      </c>
      <c r="J17" s="179">
        <f t="shared" si="6"/>
        <v>0</v>
      </c>
      <c r="K17" s="179">
        <f t="shared" si="6"/>
        <v>0</v>
      </c>
    </row>
    <row r="18" spans="1:82" ht="45">
      <c r="A18" s="160" t="s">
        <v>186</v>
      </c>
      <c r="B18" s="146" t="s">
        <v>184</v>
      </c>
      <c r="C18" s="178">
        <f>'прил.1+2'!F17</f>
        <v>200234</v>
      </c>
      <c r="D18" s="178">
        <f>'прил.1+2'!F17</f>
        <v>200234</v>
      </c>
      <c r="E18" s="178">
        <f>ROUND('проверка 2018'!G18/E5,2)</f>
        <v>317.83</v>
      </c>
      <c r="F18" s="179">
        <f>ROUND('проверка 2018'!H18/F5,2)</f>
        <v>317.83</v>
      </c>
      <c r="G18" s="179"/>
      <c r="H18" s="179">
        <f t="shared" si="6"/>
        <v>0</v>
      </c>
      <c r="I18" s="179">
        <f t="shared" si="6"/>
        <v>0</v>
      </c>
      <c r="J18" s="179">
        <f t="shared" si="6"/>
        <v>0</v>
      </c>
      <c r="K18" s="179">
        <f t="shared" si="6"/>
        <v>0</v>
      </c>
    </row>
    <row r="19" spans="1:82" ht="22.5">
      <c r="A19" s="161" t="str">
        <f>A12</f>
        <v xml:space="preserve"> затраты на доп. проф. образование педагогических работников</v>
      </c>
      <c r="B19" s="146" t="s">
        <v>184</v>
      </c>
      <c r="C19" s="178">
        <f>'прил.1+2'!F18</f>
        <v>24077</v>
      </c>
      <c r="D19" s="178">
        <f>'прил.1+2'!F18</f>
        <v>24077</v>
      </c>
      <c r="E19" s="178">
        <f>ROUND('проверка 2018'!G17/E5,2)</f>
        <v>38.22</v>
      </c>
      <c r="F19" s="179">
        <f>ROUND('проверка 2018'!H17/F5,2)</f>
        <v>38.22</v>
      </c>
      <c r="G19" s="179"/>
      <c r="H19" s="179">
        <f t="shared" si="6"/>
        <v>0</v>
      </c>
      <c r="I19" s="179">
        <f t="shared" si="6"/>
        <v>0</v>
      </c>
      <c r="J19" s="179">
        <f t="shared" si="6"/>
        <v>0</v>
      </c>
      <c r="K19" s="179">
        <f t="shared" si="6"/>
        <v>0</v>
      </c>
    </row>
    <row r="20" spans="1:82" s="116" customFormat="1" ht="21.75" customHeight="1">
      <c r="A20" s="162" t="s">
        <v>124</v>
      </c>
      <c r="B20" s="163"/>
      <c r="C20" s="181">
        <f>SUM(C16:C19)</f>
        <v>18571132.809999999</v>
      </c>
      <c r="D20" s="181">
        <f>SUM(D16:D19)</f>
        <v>18571132.809999999</v>
      </c>
      <c r="E20" s="181">
        <f t="shared" ref="E20:K20" si="7">SUM(E16:E19)</f>
        <v>29477.990000000005</v>
      </c>
      <c r="F20" s="181">
        <f t="shared" si="7"/>
        <v>29477.990000000005</v>
      </c>
      <c r="G20" s="181">
        <f t="shared" si="7"/>
        <v>0</v>
      </c>
      <c r="H20" s="181">
        <f t="shared" si="7"/>
        <v>0</v>
      </c>
      <c r="I20" s="181">
        <f t="shared" si="7"/>
        <v>0</v>
      </c>
      <c r="J20" s="181">
        <f t="shared" si="7"/>
        <v>0</v>
      </c>
      <c r="K20" s="181">
        <f t="shared" si="7"/>
        <v>0</v>
      </c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</row>
    <row r="21" spans="1:82" s="116" customFormat="1" ht="42" customHeight="1">
      <c r="A21" s="541" t="s">
        <v>189</v>
      </c>
      <c r="B21" s="542"/>
      <c r="C21" s="542"/>
      <c r="D21" s="542"/>
      <c r="E21" s="542"/>
      <c r="F21" s="542"/>
      <c r="G21" s="542"/>
      <c r="H21" s="542"/>
      <c r="I21" s="542"/>
      <c r="J21" s="542"/>
      <c r="K21" s="542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</row>
    <row r="22" spans="1:82" ht="48" customHeight="1">
      <c r="A22" s="159" t="s">
        <v>183</v>
      </c>
      <c r="B22" s="146" t="s">
        <v>184</v>
      </c>
      <c r="C22" s="178">
        <f>'прил.1+2'!G34</f>
        <v>0</v>
      </c>
      <c r="D22" s="178"/>
      <c r="E22" s="178"/>
      <c r="F22" s="178"/>
      <c r="G22" s="179">
        <f>'прил.1+2'!G34</f>
        <v>0</v>
      </c>
      <c r="H22" s="179">
        <f t="shared" ref="H22:K24" si="8">IF(H$5&lt;=0,0,IF($G22=0,0,ROUND($G22/($H$5+$I$5+$J$5+$K$5),2)))</f>
        <v>0</v>
      </c>
      <c r="I22" s="179">
        <f t="shared" si="8"/>
        <v>0</v>
      </c>
      <c r="J22" s="179">
        <f t="shared" si="8"/>
        <v>0</v>
      </c>
      <c r="K22" s="179">
        <f t="shared" si="8"/>
        <v>0</v>
      </c>
    </row>
    <row r="23" spans="1:82" ht="48" customHeight="1">
      <c r="A23" s="159" t="s">
        <v>185</v>
      </c>
      <c r="B23" s="146" t="s">
        <v>184</v>
      </c>
      <c r="C23" s="178">
        <f>'прил.1+2'!H34</f>
        <v>0</v>
      </c>
      <c r="D23" s="178"/>
      <c r="E23" s="178"/>
      <c r="F23" s="178"/>
      <c r="G23" s="179">
        <f>'прил.1+2'!H34</f>
        <v>0</v>
      </c>
      <c r="H23" s="179">
        <f>IF(H$5&lt;=0,0,IF($G23=0,0,ROUND($G23/($H$5+$I$5+$J$5+$K$5),2)))</f>
        <v>0</v>
      </c>
      <c r="I23" s="179">
        <f t="shared" si="8"/>
        <v>0</v>
      </c>
      <c r="J23" s="179">
        <f t="shared" si="8"/>
        <v>0</v>
      </c>
      <c r="K23" s="179">
        <f t="shared" si="8"/>
        <v>0</v>
      </c>
    </row>
    <row r="24" spans="1:82" ht="27.75" customHeight="1">
      <c r="A24" s="159" t="s">
        <v>194</v>
      </c>
      <c r="B24" s="146" t="s">
        <v>184</v>
      </c>
      <c r="C24" s="178">
        <f>'прил.1+2'!E39</f>
        <v>4800</v>
      </c>
      <c r="D24" s="178"/>
      <c r="E24" s="178"/>
      <c r="F24" s="178"/>
      <c r="G24" s="179">
        <f>'прил.1+2'!E39</f>
        <v>4800</v>
      </c>
      <c r="H24" s="179">
        <f>IF(H$5&lt;=0,0,IF($G24=0,0,ROUND($G24/($H$5+$I$5+$J$5+$K$5),2)))</f>
        <v>7.62</v>
      </c>
      <c r="I24" s="179">
        <f t="shared" si="8"/>
        <v>7.62</v>
      </c>
      <c r="J24" s="179">
        <f t="shared" si="8"/>
        <v>7.62</v>
      </c>
      <c r="K24" s="179">
        <f t="shared" si="8"/>
        <v>7.62</v>
      </c>
    </row>
    <row r="25" spans="1:82" ht="21.75" customHeight="1">
      <c r="A25" s="162" t="s">
        <v>124</v>
      </c>
      <c r="B25" s="163"/>
      <c r="C25" s="181">
        <f>SUM(C22:C24)</f>
        <v>4800</v>
      </c>
      <c r="D25" s="181">
        <f t="shared" ref="D25:K25" si="9">SUM(D22:D24)</f>
        <v>0</v>
      </c>
      <c r="E25" s="181">
        <f t="shared" si="9"/>
        <v>0</v>
      </c>
      <c r="F25" s="181">
        <f t="shared" si="9"/>
        <v>0</v>
      </c>
      <c r="G25" s="181">
        <f t="shared" si="9"/>
        <v>4800</v>
      </c>
      <c r="H25" s="181">
        <f t="shared" si="9"/>
        <v>7.62</v>
      </c>
      <c r="I25" s="181">
        <f t="shared" si="9"/>
        <v>7.62</v>
      </c>
      <c r="J25" s="181">
        <f t="shared" si="9"/>
        <v>7.62</v>
      </c>
      <c r="K25" s="181">
        <f t="shared" si="9"/>
        <v>7.62</v>
      </c>
    </row>
    <row r="26" spans="1:82" s="75" customFormat="1" ht="26.25" customHeight="1">
      <c r="A26" s="147"/>
      <c r="B26" s="148"/>
      <c r="C26" s="148"/>
      <c r="D26" s="148"/>
      <c r="E26" s="148"/>
      <c r="F26" s="145"/>
      <c r="G26" s="145"/>
      <c r="H26" s="145"/>
      <c r="I26" s="145"/>
      <c r="J26" s="145"/>
      <c r="K26" s="145"/>
    </row>
    <row r="27" spans="1:82" s="116" customFormat="1" ht="26.25" customHeight="1">
      <c r="A27" s="542" t="s">
        <v>190</v>
      </c>
      <c r="B27" s="542"/>
      <c r="C27" s="542"/>
      <c r="D27" s="542"/>
      <c r="E27" s="542"/>
      <c r="F27" s="542"/>
      <c r="G27" s="542"/>
      <c r="H27" s="542"/>
      <c r="I27" s="542"/>
      <c r="J27" s="542"/>
      <c r="K27" s="542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</row>
    <row r="28" spans="1:82" ht="39" customHeight="1">
      <c r="A28" s="534" t="s">
        <v>191</v>
      </c>
      <c r="B28" s="534"/>
      <c r="C28" s="534"/>
      <c r="D28" s="534"/>
      <c r="E28" s="534"/>
      <c r="F28" s="534"/>
      <c r="G28" s="534"/>
      <c r="H28" s="534"/>
      <c r="I28" s="534"/>
      <c r="J28" s="534"/>
      <c r="K28" s="534"/>
    </row>
    <row r="29" spans="1:82" ht="35.25" customHeight="1">
      <c r="A29" s="159" t="s">
        <v>192</v>
      </c>
      <c r="B29" s="146" t="s">
        <v>184</v>
      </c>
      <c r="C29" s="178">
        <f t="shared" ref="C29:K29" si="10">C34+C38</f>
        <v>12375786.609999999</v>
      </c>
      <c r="D29" s="178">
        <f t="shared" si="10"/>
        <v>9659257.0099999998</v>
      </c>
      <c r="E29" s="178">
        <f t="shared" si="10"/>
        <v>15332.15</v>
      </c>
      <c r="F29" s="178">
        <f t="shared" si="10"/>
        <v>15332.15</v>
      </c>
      <c r="G29" s="178">
        <f t="shared" si="10"/>
        <v>2716529.6</v>
      </c>
      <c r="H29" s="178">
        <f t="shared" si="10"/>
        <v>4311.95</v>
      </c>
      <c r="I29" s="178">
        <f t="shared" si="10"/>
        <v>4311.95</v>
      </c>
      <c r="J29" s="178">
        <f t="shared" si="10"/>
        <v>4311.95</v>
      </c>
      <c r="K29" s="178">
        <f t="shared" si="10"/>
        <v>4311.95</v>
      </c>
    </row>
    <row r="30" spans="1:82" ht="46.5" customHeight="1">
      <c r="A30" s="159" t="s">
        <v>193</v>
      </c>
      <c r="B30" s="146" t="s">
        <v>184</v>
      </c>
      <c r="C30" s="178">
        <f t="shared" ref="C30:K30" si="11">C35+C39</f>
        <v>3737506.56</v>
      </c>
      <c r="D30" s="178">
        <f t="shared" si="11"/>
        <v>2917109.18</v>
      </c>
      <c r="E30" s="178">
        <f t="shared" si="11"/>
        <v>4630.33</v>
      </c>
      <c r="F30" s="178">
        <f t="shared" si="11"/>
        <v>4630.33</v>
      </c>
      <c r="G30" s="178">
        <f t="shared" si="11"/>
        <v>820397.38</v>
      </c>
      <c r="H30" s="178">
        <f t="shared" si="11"/>
        <v>1302.22</v>
      </c>
      <c r="I30" s="178">
        <f t="shared" si="11"/>
        <v>1302.22</v>
      </c>
      <c r="J30" s="178">
        <f t="shared" si="11"/>
        <v>1302.22</v>
      </c>
      <c r="K30" s="178">
        <f t="shared" si="11"/>
        <v>1302.22</v>
      </c>
    </row>
    <row r="31" spans="1:82" s="116" customFormat="1" ht="26.25" customHeight="1">
      <c r="A31" s="159" t="s">
        <v>194</v>
      </c>
      <c r="B31" s="146" t="s">
        <v>184</v>
      </c>
      <c r="C31" s="178">
        <f t="shared" ref="C31:K31" si="12">C40</f>
        <v>1800</v>
      </c>
      <c r="D31" s="178">
        <f t="shared" si="12"/>
        <v>0</v>
      </c>
      <c r="E31" s="178">
        <f t="shared" si="12"/>
        <v>0</v>
      </c>
      <c r="F31" s="178">
        <f t="shared" si="12"/>
        <v>0</v>
      </c>
      <c r="G31" s="178">
        <f t="shared" si="12"/>
        <v>1800</v>
      </c>
      <c r="H31" s="178">
        <f t="shared" si="12"/>
        <v>2.86</v>
      </c>
      <c r="I31" s="178">
        <f t="shared" si="12"/>
        <v>2.86</v>
      </c>
      <c r="J31" s="178">
        <f t="shared" si="12"/>
        <v>2.86</v>
      </c>
      <c r="K31" s="178">
        <f t="shared" si="12"/>
        <v>2.86</v>
      </c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</row>
    <row r="32" spans="1:82" s="116" customFormat="1" ht="27" customHeight="1">
      <c r="A32" s="164" t="s">
        <v>124</v>
      </c>
      <c r="B32" s="163"/>
      <c r="C32" s="181">
        <f>SUM(C29:C31)</f>
        <v>16115093.17</v>
      </c>
      <c r="D32" s="181">
        <f>SUM(D29:D31)</f>
        <v>12576366.189999999</v>
      </c>
      <c r="E32" s="181">
        <f t="shared" ref="E32:K32" si="13">SUM(E29:E31)</f>
        <v>19962.48</v>
      </c>
      <c r="F32" s="181">
        <f t="shared" si="13"/>
        <v>19962.48</v>
      </c>
      <c r="G32" s="181">
        <f t="shared" si="13"/>
        <v>3538726.98</v>
      </c>
      <c r="H32" s="181">
        <f t="shared" si="13"/>
        <v>5617.03</v>
      </c>
      <c r="I32" s="181">
        <f t="shared" si="13"/>
        <v>5617.03</v>
      </c>
      <c r="J32" s="181">
        <f t="shared" si="13"/>
        <v>5617.03</v>
      </c>
      <c r="K32" s="181">
        <f t="shared" si="13"/>
        <v>5617.03</v>
      </c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</row>
    <row r="33" spans="1:82" s="116" customFormat="1" ht="47.25" customHeight="1">
      <c r="A33" s="534" t="s">
        <v>195</v>
      </c>
      <c r="B33" s="534"/>
      <c r="C33" s="534"/>
      <c r="D33" s="534"/>
      <c r="E33" s="534"/>
      <c r="F33" s="534"/>
      <c r="G33" s="534"/>
      <c r="H33" s="534"/>
      <c r="I33" s="534"/>
      <c r="J33" s="534"/>
      <c r="K33" s="534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</row>
    <row r="34" spans="1:82" s="116" customFormat="1" ht="48" customHeight="1">
      <c r="A34" s="159" t="s">
        <v>192</v>
      </c>
      <c r="B34" s="146" t="s">
        <v>184</v>
      </c>
      <c r="C34" s="182">
        <f>'прил.1+2'!G65</f>
        <v>9659257.0099999998</v>
      </c>
      <c r="D34" s="182">
        <f>'прил.1+2'!G65</f>
        <v>9659257.0099999998</v>
      </c>
      <c r="E34" s="182">
        <f>ROUND('проверка 2018'!N15/E5,2)</f>
        <v>15332.15</v>
      </c>
      <c r="F34" s="179">
        <f>ROUND('проверка 2018'!P15/F5,2)</f>
        <v>15332.15</v>
      </c>
      <c r="G34" s="179"/>
      <c r="H34" s="179">
        <f t="shared" ref="H34:K35" si="14">IF(H$5&lt;=0,0,IF($G34=0,0,ROUND($G34/($H$5+$I$5+$J$5+$K$5),2)))</f>
        <v>0</v>
      </c>
      <c r="I34" s="179">
        <f t="shared" si="14"/>
        <v>0</v>
      </c>
      <c r="J34" s="179">
        <f t="shared" si="14"/>
        <v>0</v>
      </c>
      <c r="K34" s="179">
        <f t="shared" si="14"/>
        <v>0</v>
      </c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</row>
    <row r="35" spans="1:82" s="116" customFormat="1" ht="56.25">
      <c r="A35" s="159" t="s">
        <v>193</v>
      </c>
      <c r="B35" s="146" t="s">
        <v>184</v>
      </c>
      <c r="C35" s="182">
        <f>'прил.1+2'!H65+'прил.1+2'!E70+'прил.1+2'!E71</f>
        <v>2917109.18</v>
      </c>
      <c r="D35" s="182">
        <f>'прил.1+2'!H65+'прил.1+2'!E70+'прил.1+2'!E71</f>
        <v>2917109.18</v>
      </c>
      <c r="E35" s="182">
        <f>ROUND('проверка 2018'!N16/E5,2)</f>
        <v>4630.33</v>
      </c>
      <c r="F35" s="179">
        <f>ROUND('проверка 2018'!P16/F5,2)</f>
        <v>4630.33</v>
      </c>
      <c r="G35" s="179"/>
      <c r="H35" s="179">
        <f t="shared" si="14"/>
        <v>0</v>
      </c>
      <c r="I35" s="179">
        <f t="shared" si="14"/>
        <v>0</v>
      </c>
      <c r="J35" s="179">
        <f t="shared" si="14"/>
        <v>0</v>
      </c>
      <c r="K35" s="179">
        <f t="shared" si="14"/>
        <v>0</v>
      </c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</row>
    <row r="36" spans="1:82">
      <c r="A36" s="164" t="s">
        <v>124</v>
      </c>
      <c r="B36" s="163"/>
      <c r="C36" s="183">
        <f>SUM(C34:C35)</f>
        <v>12576366.189999999</v>
      </c>
      <c r="D36" s="183">
        <f>SUM(D34:D35)</f>
        <v>12576366.189999999</v>
      </c>
      <c r="E36" s="183">
        <f t="shared" ref="E36:K36" si="15">SUM(E34:E35)</f>
        <v>19962.48</v>
      </c>
      <c r="F36" s="183">
        <f t="shared" si="15"/>
        <v>19962.48</v>
      </c>
      <c r="G36" s="183">
        <f t="shared" si="15"/>
        <v>0</v>
      </c>
      <c r="H36" s="183">
        <f t="shared" si="15"/>
        <v>0</v>
      </c>
      <c r="I36" s="183">
        <f t="shared" si="15"/>
        <v>0</v>
      </c>
      <c r="J36" s="183">
        <f t="shared" si="15"/>
        <v>0</v>
      </c>
      <c r="K36" s="183">
        <f t="shared" si="15"/>
        <v>0</v>
      </c>
    </row>
    <row r="37" spans="1:82" ht="51" customHeight="1">
      <c r="A37" s="534" t="s">
        <v>196</v>
      </c>
      <c r="B37" s="534"/>
      <c r="C37" s="534"/>
      <c r="D37" s="534"/>
      <c r="E37" s="534"/>
      <c r="F37" s="534"/>
      <c r="G37" s="534"/>
      <c r="H37" s="534"/>
      <c r="I37" s="534"/>
      <c r="J37" s="534"/>
      <c r="K37" s="534"/>
    </row>
    <row r="38" spans="1:82" ht="37.5" customHeight="1">
      <c r="A38" s="159" t="s">
        <v>192</v>
      </c>
      <c r="B38" s="146" t="s">
        <v>184</v>
      </c>
      <c r="C38" s="178">
        <f>'прил.1+2'!G86</f>
        <v>2716529.6</v>
      </c>
      <c r="D38" s="178"/>
      <c r="E38" s="178"/>
      <c r="F38" s="179"/>
      <c r="G38" s="179">
        <f>'прил.1+2'!G86</f>
        <v>2716529.6</v>
      </c>
      <c r="H38" s="179">
        <f t="shared" ref="H38:K40" si="16">IF(H$5&lt;=0,0,IF($G38=0,0,ROUND($G38/($H$5+$I$5+$J$5+$K$5),2)))</f>
        <v>4311.95</v>
      </c>
      <c r="I38" s="179">
        <f t="shared" si="16"/>
        <v>4311.95</v>
      </c>
      <c r="J38" s="179">
        <f t="shared" si="16"/>
        <v>4311.95</v>
      </c>
      <c r="K38" s="179">
        <f t="shared" si="16"/>
        <v>4311.95</v>
      </c>
    </row>
    <row r="39" spans="1:82" ht="36.75" customHeight="1">
      <c r="A39" s="159" t="s">
        <v>192</v>
      </c>
      <c r="B39" s="146" t="s">
        <v>184</v>
      </c>
      <c r="C39" s="178">
        <f>'прил.1+2'!H86+'прил.1+2'!E91+'прил.1+2'!E92</f>
        <v>820397.38</v>
      </c>
      <c r="D39" s="178"/>
      <c r="E39" s="178"/>
      <c r="F39" s="179"/>
      <c r="G39" s="179">
        <f>'прил.1+2'!H86+'прил.1+2'!E91+'прил.1+2'!E92</f>
        <v>820397.38</v>
      </c>
      <c r="H39" s="179">
        <f t="shared" si="16"/>
        <v>1302.22</v>
      </c>
      <c r="I39" s="179">
        <f t="shared" si="16"/>
        <v>1302.22</v>
      </c>
      <c r="J39" s="179">
        <f t="shared" si="16"/>
        <v>1302.22</v>
      </c>
      <c r="K39" s="179">
        <f t="shared" si="16"/>
        <v>1302.22</v>
      </c>
    </row>
    <row r="40" spans="1:82" ht="22.5">
      <c r="A40" s="159" t="s">
        <v>194</v>
      </c>
      <c r="B40" s="146" t="s">
        <v>184</v>
      </c>
      <c r="C40" s="178">
        <f>'прил.1+2'!E97</f>
        <v>1800</v>
      </c>
      <c r="D40" s="178"/>
      <c r="E40" s="178"/>
      <c r="F40" s="179"/>
      <c r="G40" s="179">
        <f>'прил.1+2'!E97</f>
        <v>1800</v>
      </c>
      <c r="H40" s="179">
        <f t="shared" si="16"/>
        <v>2.86</v>
      </c>
      <c r="I40" s="179">
        <f t="shared" si="16"/>
        <v>2.86</v>
      </c>
      <c r="J40" s="179">
        <f t="shared" si="16"/>
        <v>2.86</v>
      </c>
      <c r="K40" s="179">
        <f t="shared" si="16"/>
        <v>2.86</v>
      </c>
    </row>
    <row r="41" spans="1:82">
      <c r="A41" s="164" t="s">
        <v>124</v>
      </c>
      <c r="B41" s="163"/>
      <c r="C41" s="181">
        <f>SUM(C38:C40)</f>
        <v>3538726.98</v>
      </c>
      <c r="D41" s="181">
        <f>SUM(D38:D40)</f>
        <v>0</v>
      </c>
      <c r="E41" s="181">
        <f t="shared" ref="E41:K41" si="17">SUM(E38:E40)</f>
        <v>0</v>
      </c>
      <c r="F41" s="181">
        <f t="shared" si="17"/>
        <v>0</v>
      </c>
      <c r="G41" s="181">
        <f t="shared" si="17"/>
        <v>3538726.98</v>
      </c>
      <c r="H41" s="181">
        <f t="shared" si="17"/>
        <v>5617.03</v>
      </c>
      <c r="I41" s="181">
        <f t="shared" si="17"/>
        <v>5617.03</v>
      </c>
      <c r="J41" s="181">
        <f t="shared" si="17"/>
        <v>5617.03</v>
      </c>
      <c r="K41" s="181">
        <f t="shared" si="17"/>
        <v>5617.03</v>
      </c>
    </row>
    <row r="42" spans="1:82">
      <c r="A42" s="149"/>
      <c r="B42" s="148"/>
      <c r="C42" s="148"/>
      <c r="D42" s="148"/>
      <c r="E42" s="148"/>
      <c r="F42" s="145"/>
      <c r="G42" s="145"/>
      <c r="H42" s="145"/>
      <c r="I42" s="145"/>
      <c r="J42" s="145"/>
      <c r="K42" s="145"/>
    </row>
    <row r="43" spans="1:82" ht="25.5" customHeight="1">
      <c r="A43" s="548" t="s">
        <v>197</v>
      </c>
      <c r="B43" s="534"/>
      <c r="C43" s="534"/>
      <c r="D43" s="534"/>
      <c r="E43" s="534"/>
      <c r="F43" s="534"/>
      <c r="G43" s="534"/>
      <c r="H43" s="534"/>
      <c r="I43" s="534"/>
      <c r="J43" s="534"/>
      <c r="K43" s="534"/>
    </row>
    <row r="44" spans="1:82">
      <c r="A44" s="165" t="str">
        <f>прил.3!B6</f>
        <v>вывоз мусора</v>
      </c>
      <c r="B44" s="146" t="s">
        <v>184</v>
      </c>
      <c r="C44" s="178">
        <f>прил.3!G6</f>
        <v>53187.6</v>
      </c>
      <c r="D44" s="178"/>
      <c r="E44" s="178"/>
      <c r="F44" s="179"/>
      <c r="G44" s="376">
        <f>C44</f>
        <v>53187.6</v>
      </c>
      <c r="H44" s="179">
        <f t="shared" ref="H44:K68" si="18">IF(H$5&lt;=0,0,IF($G44=0,0,ROUND($G44/($H$5+$I$5+$J$5+$K$5),2)))</f>
        <v>84.42</v>
      </c>
      <c r="I44" s="179">
        <f t="shared" si="18"/>
        <v>84.42</v>
      </c>
      <c r="J44" s="179">
        <f t="shared" si="18"/>
        <v>84.42</v>
      </c>
      <c r="K44" s="179">
        <f t="shared" si="18"/>
        <v>84.42</v>
      </c>
    </row>
    <row r="45" spans="1:82">
      <c r="A45" s="165" t="str">
        <f>прил.3!B7</f>
        <v>дератизация</v>
      </c>
      <c r="B45" s="146" t="s">
        <v>184</v>
      </c>
      <c r="C45" s="178">
        <f>прил.3!G7</f>
        <v>12544.8</v>
      </c>
      <c r="D45" s="178"/>
      <c r="E45" s="178"/>
      <c r="F45" s="179"/>
      <c r="G45" s="376">
        <f t="shared" ref="G45:G72" si="19">C45</f>
        <v>12544.8</v>
      </c>
      <c r="H45" s="179">
        <f t="shared" si="18"/>
        <v>19.91</v>
      </c>
      <c r="I45" s="179">
        <f t="shared" si="18"/>
        <v>19.91</v>
      </c>
      <c r="J45" s="179">
        <f t="shared" si="18"/>
        <v>19.91</v>
      </c>
      <c r="K45" s="179">
        <f t="shared" si="18"/>
        <v>19.91</v>
      </c>
    </row>
    <row r="46" spans="1:82" ht="25.5">
      <c r="A46" s="165" t="str">
        <f>прил.3!B8</f>
        <v>тех.обслуживание кнопки тревожной сигнализации</v>
      </c>
      <c r="B46" s="146" t="s">
        <v>184</v>
      </c>
      <c r="C46" s="178">
        <f>прил.3!G8+прил.3!G9</f>
        <v>7962.3499999999995</v>
      </c>
      <c r="D46" s="178"/>
      <c r="E46" s="178"/>
      <c r="F46" s="179"/>
      <c r="G46" s="376">
        <f t="shared" si="19"/>
        <v>7962.3499999999995</v>
      </c>
      <c r="H46" s="179">
        <f t="shared" si="18"/>
        <v>12.64</v>
      </c>
      <c r="I46" s="179">
        <f t="shared" si="18"/>
        <v>12.64</v>
      </c>
      <c r="J46" s="179">
        <f t="shared" si="18"/>
        <v>12.64</v>
      </c>
      <c r="K46" s="179">
        <f t="shared" si="18"/>
        <v>12.64</v>
      </c>
    </row>
    <row r="47" spans="1:82">
      <c r="A47" s="165" t="str">
        <f>прил.3!B10</f>
        <v>АПС</v>
      </c>
      <c r="B47" s="146" t="s">
        <v>184</v>
      </c>
      <c r="C47" s="178">
        <f>прил.3!G10+прил.3!G11</f>
        <v>42576</v>
      </c>
      <c r="D47" s="178"/>
      <c r="E47" s="178"/>
      <c r="F47" s="179"/>
      <c r="G47" s="376">
        <f t="shared" si="19"/>
        <v>42576</v>
      </c>
      <c r="H47" s="179">
        <f t="shared" si="18"/>
        <v>67.58</v>
      </c>
      <c r="I47" s="179">
        <f t="shared" si="18"/>
        <v>67.58</v>
      </c>
      <c r="J47" s="179">
        <f t="shared" si="18"/>
        <v>67.58</v>
      </c>
      <c r="K47" s="179">
        <f t="shared" si="18"/>
        <v>67.58</v>
      </c>
    </row>
    <row r="48" spans="1:82">
      <c r="A48" s="165" t="str">
        <f>прил.3!B12</f>
        <v>тех.обслуживание домофона</v>
      </c>
      <c r="B48" s="146" t="s">
        <v>184</v>
      </c>
      <c r="C48" s="178">
        <f>прил.3!G12</f>
        <v>18000</v>
      </c>
      <c r="D48" s="178"/>
      <c r="E48" s="178"/>
      <c r="F48" s="179"/>
      <c r="G48" s="376">
        <f t="shared" si="19"/>
        <v>18000</v>
      </c>
      <c r="H48" s="179">
        <f t="shared" si="18"/>
        <v>28.57</v>
      </c>
      <c r="I48" s="179">
        <f t="shared" si="18"/>
        <v>28.57</v>
      </c>
      <c r="J48" s="179">
        <f t="shared" si="18"/>
        <v>28.57</v>
      </c>
      <c r="K48" s="179">
        <f t="shared" si="18"/>
        <v>28.57</v>
      </c>
    </row>
    <row r="49" spans="1:82" ht="25.5">
      <c r="A49" s="165" t="str">
        <f>прил.3!B13</f>
        <v>тех.обслуживание видеонаблюдения</v>
      </c>
      <c r="B49" s="146" t="s">
        <v>184</v>
      </c>
      <c r="C49" s="178">
        <f>прил.3!G13</f>
        <v>0</v>
      </c>
      <c r="D49" s="178"/>
      <c r="E49" s="178"/>
      <c r="F49" s="179"/>
      <c r="G49" s="376">
        <f t="shared" si="19"/>
        <v>0</v>
      </c>
      <c r="H49" s="179">
        <f t="shared" si="18"/>
        <v>0</v>
      </c>
      <c r="I49" s="179">
        <f t="shared" si="18"/>
        <v>0</v>
      </c>
      <c r="J49" s="179">
        <f t="shared" si="18"/>
        <v>0</v>
      </c>
      <c r="K49" s="179">
        <f t="shared" si="18"/>
        <v>0</v>
      </c>
    </row>
    <row r="50" spans="1:82">
      <c r="A50" s="165" t="str">
        <f>прил.3!B14</f>
        <v>тех.обслуживание бассейна</v>
      </c>
      <c r="B50" s="146" t="s">
        <v>184</v>
      </c>
      <c r="C50" s="178">
        <f>прил.3!G14</f>
        <v>0</v>
      </c>
      <c r="D50" s="178"/>
      <c r="E50" s="178"/>
      <c r="F50" s="179"/>
      <c r="G50" s="179">
        <f t="shared" si="19"/>
        <v>0</v>
      </c>
      <c r="H50" s="179">
        <f t="shared" si="18"/>
        <v>0</v>
      </c>
      <c r="I50" s="179">
        <f t="shared" si="18"/>
        <v>0</v>
      </c>
      <c r="J50" s="179">
        <f t="shared" si="18"/>
        <v>0</v>
      </c>
      <c r="K50" s="179">
        <f t="shared" si="18"/>
        <v>0</v>
      </c>
    </row>
    <row r="51" spans="1:82" ht="15" customHeight="1">
      <c r="A51" s="165" t="str">
        <f>прил.3!B15</f>
        <v>тех.обслуживание радиомодема</v>
      </c>
      <c r="B51" s="146" t="s">
        <v>184</v>
      </c>
      <c r="C51" s="178">
        <f>прил.3!G15+прил.3!G16</f>
        <v>38400</v>
      </c>
      <c r="D51" s="178"/>
      <c r="E51" s="178"/>
      <c r="F51" s="179"/>
      <c r="G51" s="376">
        <f t="shared" si="19"/>
        <v>38400</v>
      </c>
      <c r="H51" s="179">
        <f t="shared" si="18"/>
        <v>60.95</v>
      </c>
      <c r="I51" s="179">
        <f t="shared" si="18"/>
        <v>60.95</v>
      </c>
      <c r="J51" s="179">
        <f t="shared" si="18"/>
        <v>60.95</v>
      </c>
      <c r="K51" s="179">
        <f t="shared" si="18"/>
        <v>60.95</v>
      </c>
    </row>
    <row r="52" spans="1:82">
      <c r="A52" s="165" t="str">
        <f>прил.3!B17</f>
        <v>тех.обслуживание теплосчетчиков</v>
      </c>
      <c r="B52" s="214" t="s">
        <v>184</v>
      </c>
      <c r="C52" s="178">
        <f>прил.3!G17</f>
        <v>38526.239999999998</v>
      </c>
      <c r="D52" s="178"/>
      <c r="E52" s="178"/>
      <c r="F52" s="179"/>
      <c r="G52" s="376">
        <f t="shared" si="19"/>
        <v>38526.239999999998</v>
      </c>
      <c r="H52" s="179">
        <f t="shared" si="18"/>
        <v>61.15</v>
      </c>
      <c r="I52" s="179">
        <f t="shared" si="18"/>
        <v>61.15</v>
      </c>
      <c r="J52" s="179">
        <f t="shared" si="18"/>
        <v>61.15</v>
      </c>
      <c r="K52" s="179">
        <f t="shared" si="18"/>
        <v>61.15</v>
      </c>
    </row>
    <row r="53" spans="1:82">
      <c r="A53" s="165" t="str">
        <f>прил.3!B18</f>
        <v>то электроприборов</v>
      </c>
      <c r="B53" s="146" t="s">
        <v>184</v>
      </c>
      <c r="C53" s="178">
        <f>прил.3!G18</f>
        <v>24000</v>
      </c>
      <c r="D53" s="178"/>
      <c r="E53" s="178"/>
      <c r="F53" s="179"/>
      <c r="G53" s="376">
        <f t="shared" si="19"/>
        <v>24000</v>
      </c>
      <c r="H53" s="179">
        <f t="shared" si="18"/>
        <v>38.1</v>
      </c>
      <c r="I53" s="179">
        <f t="shared" si="18"/>
        <v>38.1</v>
      </c>
      <c r="J53" s="179">
        <f t="shared" si="18"/>
        <v>38.1</v>
      </c>
      <c r="K53" s="179">
        <f t="shared" si="18"/>
        <v>38.1</v>
      </c>
    </row>
    <row r="54" spans="1:82" ht="25.5">
      <c r="A54" s="165" t="str">
        <f>прил.3!B19</f>
        <v>санитарная уборка контейнерной площадки</v>
      </c>
      <c r="B54" s="146" t="s">
        <v>184</v>
      </c>
      <c r="C54" s="178">
        <f>прил.3!G19+прил.3!G20</f>
        <v>33744</v>
      </c>
      <c r="D54" s="178"/>
      <c r="E54" s="178"/>
      <c r="F54" s="179"/>
      <c r="G54" s="376">
        <f t="shared" si="19"/>
        <v>33744</v>
      </c>
      <c r="H54" s="179">
        <f t="shared" si="18"/>
        <v>53.56</v>
      </c>
      <c r="I54" s="179">
        <f t="shared" si="18"/>
        <v>53.56</v>
      </c>
      <c r="J54" s="179">
        <f t="shared" si="18"/>
        <v>53.56</v>
      </c>
      <c r="K54" s="179">
        <f t="shared" si="18"/>
        <v>53.56</v>
      </c>
    </row>
    <row r="55" spans="1:82">
      <c r="A55" s="165" t="str">
        <f>прил.3!B21</f>
        <v>Взносы на кап.ремонт</v>
      </c>
      <c r="B55" s="146" t="s">
        <v>184</v>
      </c>
      <c r="C55" s="178">
        <f>прил.3!G21+прил.3!G22</f>
        <v>46285.200000000004</v>
      </c>
      <c r="D55" s="178"/>
      <c r="E55" s="178"/>
      <c r="F55" s="179"/>
      <c r="G55" s="179">
        <f t="shared" si="19"/>
        <v>46285.200000000004</v>
      </c>
      <c r="H55" s="179">
        <f t="shared" si="18"/>
        <v>73.47</v>
      </c>
      <c r="I55" s="179">
        <f t="shared" si="18"/>
        <v>73.47</v>
      </c>
      <c r="J55" s="179">
        <f t="shared" si="18"/>
        <v>73.47</v>
      </c>
      <c r="K55" s="179">
        <f t="shared" si="18"/>
        <v>73.47</v>
      </c>
    </row>
    <row r="56" spans="1:82">
      <c r="A56" s="165" t="str">
        <f>прил.3!B23</f>
        <v>замер сопротивления</v>
      </c>
      <c r="B56" s="146" t="s">
        <v>184</v>
      </c>
      <c r="C56" s="178">
        <f>прил.3!G23</f>
        <v>6500</v>
      </c>
      <c r="D56" s="178"/>
      <c r="E56" s="178"/>
      <c r="F56" s="179"/>
      <c r="G56" s="179">
        <f t="shared" si="19"/>
        <v>6500</v>
      </c>
      <c r="H56" s="179">
        <f t="shared" si="18"/>
        <v>10.32</v>
      </c>
      <c r="I56" s="179">
        <f t="shared" si="18"/>
        <v>10.32</v>
      </c>
      <c r="J56" s="179">
        <f t="shared" si="18"/>
        <v>10.32</v>
      </c>
      <c r="K56" s="179">
        <f t="shared" si="18"/>
        <v>10.32</v>
      </c>
    </row>
    <row r="57" spans="1:82">
      <c r="A57" s="165" t="str">
        <f>прил.3!B24</f>
        <v>Поверка весов (манометров)</v>
      </c>
      <c r="B57" s="146" t="s">
        <v>184</v>
      </c>
      <c r="C57" s="178">
        <f>прил.3!G24</f>
        <v>0</v>
      </c>
      <c r="D57" s="178"/>
      <c r="E57" s="178"/>
      <c r="F57" s="179"/>
      <c r="G57" s="179">
        <f t="shared" si="19"/>
        <v>0</v>
      </c>
      <c r="H57" s="179">
        <f t="shared" si="18"/>
        <v>0</v>
      </c>
      <c r="I57" s="179">
        <f t="shared" si="18"/>
        <v>0</v>
      </c>
      <c r="J57" s="179">
        <f t="shared" si="18"/>
        <v>0</v>
      </c>
      <c r="K57" s="179">
        <f t="shared" si="18"/>
        <v>0</v>
      </c>
    </row>
    <row r="58" spans="1:82">
      <c r="A58" s="165" t="str">
        <f>прил.3!B25</f>
        <v>Содержание и ТО дома</v>
      </c>
      <c r="B58" s="146" t="s">
        <v>184</v>
      </c>
      <c r="C58" s="178">
        <f>прил.3!G25+прил.3!G26</f>
        <v>130552.58</v>
      </c>
      <c r="D58" s="178"/>
      <c r="E58" s="178"/>
      <c r="F58" s="179"/>
      <c r="G58" s="179">
        <f t="shared" si="19"/>
        <v>130552.58</v>
      </c>
      <c r="H58" s="179">
        <f>IF(H$5&lt;=0,0,IF($G58=0,0,ROUND($G58/($H$5+$I$5+$J$5+$K$5),2)))</f>
        <v>207.23</v>
      </c>
      <c r="I58" s="179">
        <f t="shared" si="18"/>
        <v>207.23</v>
      </c>
      <c r="J58" s="179">
        <f t="shared" si="18"/>
        <v>207.23</v>
      </c>
      <c r="K58" s="179">
        <f t="shared" si="18"/>
        <v>207.23</v>
      </c>
    </row>
    <row r="59" spans="1:82" s="116" customFormat="1">
      <c r="A59" s="165" t="str">
        <f>прил.3!B27</f>
        <v>Лабораторные исследования</v>
      </c>
      <c r="B59" s="146" t="s">
        <v>184</v>
      </c>
      <c r="C59" s="178">
        <f>прил.3!G27</f>
        <v>23930.15</v>
      </c>
      <c r="D59" s="178"/>
      <c r="E59" s="178"/>
      <c r="F59" s="179"/>
      <c r="G59" s="179">
        <f t="shared" si="19"/>
        <v>23930.15</v>
      </c>
      <c r="H59" s="179">
        <f t="shared" si="18"/>
        <v>37.979999999999997</v>
      </c>
      <c r="I59" s="179">
        <f t="shared" si="18"/>
        <v>37.979999999999997</v>
      </c>
      <c r="J59" s="179">
        <f t="shared" si="18"/>
        <v>37.979999999999997</v>
      </c>
      <c r="K59" s="179">
        <f t="shared" si="18"/>
        <v>37.979999999999997</v>
      </c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75"/>
      <c r="CA59" s="75"/>
      <c r="CB59" s="75"/>
      <c r="CC59" s="75"/>
      <c r="CD59" s="75"/>
    </row>
    <row r="60" spans="1:82">
      <c r="A60" s="165" t="str">
        <f>прил.3!B28</f>
        <v>промывка, опрессовка</v>
      </c>
      <c r="B60" s="146" t="s">
        <v>184</v>
      </c>
      <c r="C60" s="178">
        <f>прил.3!G28</f>
        <v>20000</v>
      </c>
      <c r="D60" s="178"/>
      <c r="E60" s="178"/>
      <c r="F60" s="179"/>
      <c r="G60" s="179">
        <f t="shared" si="19"/>
        <v>20000</v>
      </c>
      <c r="H60" s="179">
        <f t="shared" si="18"/>
        <v>31.75</v>
      </c>
      <c r="I60" s="179">
        <f t="shared" si="18"/>
        <v>31.75</v>
      </c>
      <c r="J60" s="179">
        <f t="shared" si="18"/>
        <v>31.75</v>
      </c>
      <c r="K60" s="179">
        <f t="shared" si="18"/>
        <v>31.75</v>
      </c>
    </row>
    <row r="61" spans="1:82">
      <c r="A61" s="165" t="str">
        <f>прил.3!B29</f>
        <v>Поверка теплосчетчиков</v>
      </c>
      <c r="B61" s="146" t="s">
        <v>184</v>
      </c>
      <c r="C61" s="178">
        <f>прил.3!G29</f>
        <v>24600</v>
      </c>
      <c r="D61" s="178"/>
      <c r="E61" s="178"/>
      <c r="F61" s="179"/>
      <c r="G61" s="179">
        <f t="shared" si="19"/>
        <v>24600</v>
      </c>
      <c r="H61" s="179">
        <f>IF(H$5&lt;=0,0,IF($G61=0,0,ROUND($G61/($H$5+$I$5+$J$5+$K$5),2)))</f>
        <v>39.049999999999997</v>
      </c>
      <c r="I61" s="179">
        <f t="shared" si="18"/>
        <v>39.049999999999997</v>
      </c>
      <c r="J61" s="179">
        <f t="shared" si="18"/>
        <v>39.049999999999997</v>
      </c>
      <c r="K61" s="179">
        <f t="shared" si="18"/>
        <v>39.049999999999997</v>
      </c>
    </row>
    <row r="62" spans="1:82">
      <c r="A62" s="165" t="str">
        <f>прил.3!B30</f>
        <v>Очистка кровли</v>
      </c>
      <c r="B62" s="146" t="s">
        <v>184</v>
      </c>
      <c r="C62" s="178">
        <f>прил.3!G30</f>
        <v>0</v>
      </c>
      <c r="D62" s="178"/>
      <c r="E62" s="178"/>
      <c r="F62" s="179"/>
      <c r="G62" s="179">
        <f t="shared" si="19"/>
        <v>0</v>
      </c>
      <c r="H62" s="179">
        <f t="shared" ref="H62:K63" si="20">IF(H$5&lt;=0,0,IF($G62=0,0,ROUND($G62/($H$5+$I$5+$J$5+$K$5),2)))</f>
        <v>0</v>
      </c>
      <c r="I62" s="179">
        <f t="shared" si="20"/>
        <v>0</v>
      </c>
      <c r="J62" s="179">
        <f t="shared" si="20"/>
        <v>0</v>
      </c>
      <c r="K62" s="179">
        <f t="shared" si="20"/>
        <v>0</v>
      </c>
    </row>
    <row r="63" spans="1:82">
      <c r="A63" s="165" t="str">
        <f>прил.3!B35</f>
        <v>Перезарядка огнетушителей</v>
      </c>
      <c r="B63" s="146" t="s">
        <v>184</v>
      </c>
      <c r="C63" s="178">
        <f>прил.3!G35+прил.3!G36+прил.3!G37</f>
        <v>6460</v>
      </c>
      <c r="D63" s="178"/>
      <c r="E63" s="178"/>
      <c r="F63" s="179"/>
      <c r="G63" s="179">
        <f t="shared" si="19"/>
        <v>6460</v>
      </c>
      <c r="H63" s="179">
        <f t="shared" si="20"/>
        <v>10.25</v>
      </c>
      <c r="I63" s="179">
        <f t="shared" si="20"/>
        <v>10.25</v>
      </c>
      <c r="J63" s="179">
        <f t="shared" si="20"/>
        <v>10.25</v>
      </c>
      <c r="K63" s="179">
        <f t="shared" si="20"/>
        <v>10.25</v>
      </c>
    </row>
    <row r="64" spans="1:82" ht="12.75" customHeight="1">
      <c r="A64" s="165" t="str">
        <f>прил.3!B38</f>
        <v>ТО огнетушителей</v>
      </c>
      <c r="B64" s="146" t="s">
        <v>184</v>
      </c>
      <c r="C64" s="178">
        <f>прил.3!G38+прил.3!G39+прил.3!G40+прил.3!G41</f>
        <v>0</v>
      </c>
      <c r="D64" s="178"/>
      <c r="E64" s="178"/>
      <c r="F64" s="179"/>
      <c r="G64" s="179">
        <f t="shared" si="19"/>
        <v>0</v>
      </c>
      <c r="H64" s="179">
        <f t="shared" ref="H64:H65" si="21">IF(H$5&lt;=0,0,IF($G64=0,0,ROUND($G64/($H$5+$I$5+$J$5+$K$5),2)))</f>
        <v>0</v>
      </c>
      <c r="I64" s="179">
        <f t="shared" si="18"/>
        <v>0</v>
      </c>
      <c r="J64" s="179">
        <f t="shared" si="18"/>
        <v>0</v>
      </c>
      <c r="K64" s="179">
        <f t="shared" si="18"/>
        <v>0</v>
      </c>
    </row>
    <row r="65" spans="1:82" ht="12.75" customHeight="1">
      <c r="A65" s="165" t="str">
        <f>прил.3!B46</f>
        <v>Противопожарные мероприятия:</v>
      </c>
      <c r="B65" s="146" t="s">
        <v>184</v>
      </c>
      <c r="C65" s="178">
        <f>прил.3!G46</f>
        <v>19400</v>
      </c>
      <c r="D65" s="178"/>
      <c r="E65" s="178"/>
      <c r="F65" s="179"/>
      <c r="G65" s="179">
        <f t="shared" si="19"/>
        <v>19400</v>
      </c>
      <c r="H65" s="179">
        <f t="shared" si="21"/>
        <v>30.79</v>
      </c>
      <c r="I65" s="179">
        <f t="shared" si="18"/>
        <v>30.79</v>
      </c>
      <c r="J65" s="179">
        <f t="shared" si="18"/>
        <v>30.79</v>
      </c>
      <c r="K65" s="179">
        <f t="shared" si="18"/>
        <v>30.79</v>
      </c>
    </row>
    <row r="66" spans="1:82" ht="12.75" customHeight="1">
      <c r="A66" s="165" t="str">
        <f>прил.3!B31</f>
        <v>Тревожная кнопка</v>
      </c>
      <c r="B66" s="146" t="s">
        <v>184</v>
      </c>
      <c r="C66" s="178">
        <f>прил.3!G31+прил.3!G32</f>
        <v>33039.800000000003</v>
      </c>
      <c r="D66" s="178"/>
      <c r="E66" s="178"/>
      <c r="F66" s="179"/>
      <c r="G66" s="179">
        <f t="shared" si="19"/>
        <v>33039.800000000003</v>
      </c>
      <c r="H66" s="179">
        <f t="shared" si="18"/>
        <v>52.44</v>
      </c>
      <c r="I66" s="179">
        <f t="shared" si="18"/>
        <v>52.44</v>
      </c>
      <c r="J66" s="179">
        <f t="shared" si="18"/>
        <v>52.44</v>
      </c>
      <c r="K66" s="179">
        <f t="shared" si="18"/>
        <v>52.44</v>
      </c>
    </row>
    <row r="67" spans="1:82" ht="12.75" customHeight="1">
      <c r="A67" s="165" t="str">
        <f>прил.3!B33</f>
        <v>Утилизация отходов (ртутосодержащие лампы)</v>
      </c>
      <c r="B67" s="146" t="s">
        <v>184</v>
      </c>
      <c r="C67" s="178">
        <f>прил.3!G33</f>
        <v>1000</v>
      </c>
      <c r="D67" s="178"/>
      <c r="E67" s="178"/>
      <c r="F67" s="179"/>
      <c r="G67" s="179">
        <f t="shared" si="19"/>
        <v>1000</v>
      </c>
      <c r="H67" s="179">
        <f t="shared" si="18"/>
        <v>1.59</v>
      </c>
      <c r="I67" s="179">
        <f t="shared" si="18"/>
        <v>1.59</v>
      </c>
      <c r="J67" s="179">
        <f t="shared" si="18"/>
        <v>1.59</v>
      </c>
      <c r="K67" s="179">
        <f t="shared" si="18"/>
        <v>1.59</v>
      </c>
    </row>
    <row r="68" spans="1:82" ht="12.75" customHeight="1">
      <c r="A68" s="165"/>
      <c r="B68" s="146" t="s">
        <v>184</v>
      </c>
      <c r="C68" s="178"/>
      <c r="D68" s="178"/>
      <c r="E68" s="178"/>
      <c r="F68" s="179"/>
      <c r="G68" s="179">
        <f t="shared" si="19"/>
        <v>0</v>
      </c>
      <c r="H68" s="179">
        <f t="shared" si="18"/>
        <v>0</v>
      </c>
      <c r="I68" s="179">
        <f t="shared" si="18"/>
        <v>0</v>
      </c>
      <c r="J68" s="179">
        <f t="shared" si="18"/>
        <v>0</v>
      </c>
      <c r="K68" s="179">
        <f t="shared" si="18"/>
        <v>0</v>
      </c>
    </row>
    <row r="69" spans="1:82" ht="12.75" customHeight="1">
      <c r="A69" s="165"/>
      <c r="B69" s="146" t="s">
        <v>184</v>
      </c>
      <c r="C69" s="178"/>
      <c r="D69" s="178"/>
      <c r="E69" s="178"/>
      <c r="F69" s="179"/>
      <c r="G69" s="179">
        <f t="shared" si="19"/>
        <v>0</v>
      </c>
      <c r="H69" s="179">
        <f t="shared" ref="H69:K72" si="22">IF(H$5&lt;=0,0,IF($G69=0,0,ROUND($G69/($H$5+$I$5+$J$5+$K$5),2)))</f>
        <v>0</v>
      </c>
      <c r="I69" s="179">
        <f t="shared" si="22"/>
        <v>0</v>
      </c>
      <c r="J69" s="179">
        <f t="shared" si="22"/>
        <v>0</v>
      </c>
      <c r="K69" s="179">
        <f t="shared" si="22"/>
        <v>0</v>
      </c>
    </row>
    <row r="70" spans="1:82" ht="12.75" customHeight="1">
      <c r="A70" s="165"/>
      <c r="B70" s="146" t="s">
        <v>184</v>
      </c>
      <c r="C70" s="178"/>
      <c r="D70" s="178"/>
      <c r="E70" s="178"/>
      <c r="F70" s="179"/>
      <c r="G70" s="179">
        <f t="shared" si="19"/>
        <v>0</v>
      </c>
      <c r="H70" s="179">
        <f t="shared" si="22"/>
        <v>0</v>
      </c>
      <c r="I70" s="179">
        <f t="shared" si="22"/>
        <v>0</v>
      </c>
      <c r="J70" s="179">
        <f t="shared" si="22"/>
        <v>0</v>
      </c>
      <c r="K70" s="179">
        <f t="shared" si="22"/>
        <v>0</v>
      </c>
    </row>
    <row r="71" spans="1:82" ht="12.75" customHeight="1">
      <c r="A71" s="165"/>
      <c r="B71" s="146" t="s">
        <v>184</v>
      </c>
      <c r="C71" s="178"/>
      <c r="D71" s="178"/>
      <c r="E71" s="178"/>
      <c r="F71" s="179"/>
      <c r="G71" s="179">
        <f t="shared" si="19"/>
        <v>0</v>
      </c>
      <c r="H71" s="179">
        <f t="shared" si="22"/>
        <v>0</v>
      </c>
      <c r="I71" s="179">
        <f t="shared" si="22"/>
        <v>0</v>
      </c>
      <c r="J71" s="179">
        <f t="shared" si="22"/>
        <v>0</v>
      </c>
      <c r="K71" s="179">
        <f t="shared" si="22"/>
        <v>0</v>
      </c>
    </row>
    <row r="72" spans="1:82" ht="12.75" customHeight="1">
      <c r="A72" s="165"/>
      <c r="B72" s="146" t="s">
        <v>184</v>
      </c>
      <c r="C72" s="178"/>
      <c r="D72" s="178"/>
      <c r="E72" s="178"/>
      <c r="F72" s="179"/>
      <c r="G72" s="179">
        <f t="shared" si="19"/>
        <v>0</v>
      </c>
      <c r="H72" s="179">
        <f t="shared" si="22"/>
        <v>0</v>
      </c>
      <c r="I72" s="179">
        <f t="shared" si="22"/>
        <v>0</v>
      </c>
      <c r="J72" s="179">
        <f t="shared" si="22"/>
        <v>0</v>
      </c>
      <c r="K72" s="179">
        <f t="shared" si="22"/>
        <v>0</v>
      </c>
    </row>
    <row r="73" spans="1:82" ht="12.75" customHeight="1">
      <c r="A73" s="166" t="s">
        <v>124</v>
      </c>
      <c r="B73" s="166"/>
      <c r="C73" s="181">
        <f>SUM(C44:C72)</f>
        <v>580708.72000000009</v>
      </c>
      <c r="D73" s="181">
        <f t="shared" ref="D73:K73" si="23">SUM(D44:D72)</f>
        <v>0</v>
      </c>
      <c r="E73" s="181">
        <f t="shared" si="23"/>
        <v>0</v>
      </c>
      <c r="F73" s="181">
        <f t="shared" si="23"/>
        <v>0</v>
      </c>
      <c r="G73" s="181">
        <f t="shared" si="23"/>
        <v>580708.72000000009</v>
      </c>
      <c r="H73" s="181">
        <f t="shared" si="23"/>
        <v>921.74999999999989</v>
      </c>
      <c r="I73" s="181">
        <f t="shared" si="23"/>
        <v>921.74999999999989</v>
      </c>
      <c r="J73" s="181">
        <f t="shared" si="23"/>
        <v>921.74999999999989</v>
      </c>
      <c r="K73" s="181">
        <f t="shared" si="23"/>
        <v>921.74999999999989</v>
      </c>
    </row>
    <row r="74" spans="1:82" ht="24" customHeight="1">
      <c r="A74" s="548" t="s">
        <v>198</v>
      </c>
      <c r="B74" s="534"/>
      <c r="C74" s="534"/>
      <c r="D74" s="534"/>
      <c r="E74" s="534"/>
      <c r="F74" s="534"/>
      <c r="G74" s="534"/>
      <c r="H74" s="534"/>
      <c r="I74" s="534"/>
      <c r="J74" s="534"/>
      <c r="K74" s="534"/>
    </row>
    <row r="75" spans="1:82" ht="19.5" customHeight="1">
      <c r="A75" s="178" t="s">
        <v>199</v>
      </c>
      <c r="B75" s="178" t="s">
        <v>184</v>
      </c>
      <c r="C75" s="178">
        <f>прил.3!G76</f>
        <v>62367</v>
      </c>
      <c r="D75" s="178"/>
      <c r="E75" s="178"/>
      <c r="F75" s="179"/>
      <c r="G75" s="179">
        <f>прил.3!G76</f>
        <v>62367</v>
      </c>
      <c r="H75" s="179">
        <f>IF(H$5&lt;=0,0,IF($G75=0,0,ROUND($G75/($H$5+$I$5+$J$5+$K$5),2)))</f>
        <v>99</v>
      </c>
      <c r="I75" s="179">
        <f>IF(I$5&lt;=0,0,IF($G75=0,0,ROUND($G75/($H$5+$I$5+$J$5+$K$5),2)))</f>
        <v>99</v>
      </c>
      <c r="J75" s="179">
        <f>IF(J$5&lt;=0,0,IF($G75=0,0,ROUND($G75/($H$5+$I$5+$J$5+$K$5),2)))</f>
        <v>99</v>
      </c>
      <c r="K75" s="179">
        <f>IF(K$5&lt;=0,0,IF($G75=0,0,ROUND($G75/($H$5+$I$5+$J$5+$K$5),2)))</f>
        <v>99</v>
      </c>
    </row>
    <row r="76" spans="1:82" ht="12.75" hidden="1" customHeight="1">
      <c r="A76" s="178"/>
      <c r="B76" s="178"/>
      <c r="C76" s="178"/>
      <c r="D76" s="178"/>
      <c r="E76" s="178"/>
      <c r="F76" s="179"/>
      <c r="G76" s="179"/>
      <c r="H76" s="179"/>
      <c r="I76" s="179"/>
      <c r="J76" s="179"/>
      <c r="K76" s="179"/>
    </row>
    <row r="77" spans="1:82" ht="12.75" hidden="1" customHeight="1">
      <c r="A77" s="178"/>
      <c r="B77" s="178"/>
      <c r="C77" s="178"/>
      <c r="D77" s="178"/>
      <c r="E77" s="178"/>
      <c r="F77" s="179"/>
      <c r="G77" s="179"/>
      <c r="H77" s="179"/>
      <c r="I77" s="179"/>
      <c r="J77" s="179"/>
      <c r="K77" s="179"/>
    </row>
    <row r="78" spans="1:82" ht="12.75" hidden="1" customHeight="1">
      <c r="A78" s="178"/>
      <c r="B78" s="178"/>
      <c r="C78" s="178"/>
      <c r="D78" s="178"/>
      <c r="E78" s="178"/>
      <c r="F78" s="179"/>
      <c r="G78" s="179"/>
      <c r="H78" s="179"/>
      <c r="I78" s="179"/>
      <c r="J78" s="179"/>
      <c r="K78" s="179"/>
    </row>
    <row r="79" spans="1:82" s="117" customFormat="1">
      <c r="A79" s="181" t="s">
        <v>124</v>
      </c>
      <c r="B79" s="181"/>
      <c r="C79" s="181">
        <f>SUM(C75+C78)</f>
        <v>62367</v>
      </c>
      <c r="D79" s="181">
        <f>SUM(D75+D78)</f>
        <v>0</v>
      </c>
      <c r="E79" s="181">
        <f t="shared" ref="E79:K79" si="24">SUM(E75+E78)</f>
        <v>0</v>
      </c>
      <c r="F79" s="181">
        <f t="shared" si="24"/>
        <v>0</v>
      </c>
      <c r="G79" s="181">
        <f t="shared" si="24"/>
        <v>62367</v>
      </c>
      <c r="H79" s="181">
        <f t="shared" si="24"/>
        <v>99</v>
      </c>
      <c r="I79" s="181">
        <f t="shared" si="24"/>
        <v>99</v>
      </c>
      <c r="J79" s="181">
        <f t="shared" si="24"/>
        <v>99</v>
      </c>
      <c r="K79" s="181">
        <f t="shared" si="24"/>
        <v>99</v>
      </c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75"/>
      <c r="BJ79" s="75"/>
      <c r="BK79" s="75"/>
      <c r="BL79" s="75"/>
      <c r="BM79" s="75"/>
      <c r="BN79" s="75"/>
      <c r="BO79" s="75"/>
      <c r="BP79" s="75"/>
      <c r="BQ79" s="75"/>
      <c r="BR79" s="75"/>
      <c r="BS79" s="75"/>
      <c r="BT79" s="75"/>
      <c r="BU79" s="75"/>
      <c r="BV79" s="75"/>
      <c r="BW79" s="75"/>
      <c r="BX79" s="75"/>
      <c r="BY79" s="75"/>
      <c r="BZ79" s="75"/>
      <c r="CA79" s="75"/>
      <c r="CB79" s="75"/>
      <c r="CC79" s="75"/>
      <c r="CD79" s="75"/>
    </row>
    <row r="80" spans="1:82" s="118" customFormat="1" ht="21" customHeight="1">
      <c r="A80" s="548" t="s">
        <v>200</v>
      </c>
      <c r="B80" s="534"/>
      <c r="C80" s="534"/>
      <c r="D80" s="534"/>
      <c r="E80" s="534"/>
      <c r="F80" s="534"/>
      <c r="G80" s="534"/>
      <c r="H80" s="534"/>
      <c r="I80" s="534"/>
      <c r="J80" s="534"/>
      <c r="K80" s="534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75"/>
      <c r="BN80" s="75"/>
      <c r="BO80" s="75"/>
      <c r="BP80" s="75"/>
      <c r="BQ80" s="75"/>
      <c r="BR80" s="75"/>
      <c r="BS80" s="75"/>
      <c r="BT80" s="75"/>
      <c r="BU80" s="75"/>
      <c r="BV80" s="75"/>
      <c r="BW80" s="75"/>
      <c r="BX80" s="75"/>
      <c r="BY80" s="75"/>
      <c r="BZ80" s="75"/>
      <c r="CA80" s="75"/>
      <c r="CB80" s="75"/>
      <c r="CC80" s="75"/>
      <c r="CD80" s="75"/>
    </row>
    <row r="81" spans="1:82" s="118" customFormat="1">
      <c r="A81" s="167" t="str">
        <f>прил.3!B83</f>
        <v>Затраты на хоз.нужды</v>
      </c>
      <c r="B81" s="146" t="s">
        <v>184</v>
      </c>
      <c r="C81" s="178">
        <f>прил.3!E91</f>
        <v>235960</v>
      </c>
      <c r="D81" s="178"/>
      <c r="E81" s="178"/>
      <c r="F81" s="179"/>
      <c r="G81" s="179">
        <f>C81</f>
        <v>235960</v>
      </c>
      <c r="H81" s="179">
        <f t="shared" ref="H81:K93" si="25">IF(H$5&lt;=0,0,IF($G81=0,0,ROUND($G81/($H$5+$I$5+$J$5+$K$5),2)))</f>
        <v>374.54</v>
      </c>
      <c r="I81" s="179">
        <f t="shared" si="25"/>
        <v>374.54</v>
      </c>
      <c r="J81" s="179">
        <f t="shared" si="25"/>
        <v>374.54</v>
      </c>
      <c r="K81" s="179">
        <f t="shared" si="25"/>
        <v>374.54</v>
      </c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  <c r="BH81" s="75"/>
      <c r="BI81" s="75"/>
      <c r="BJ81" s="75"/>
      <c r="BK81" s="75"/>
      <c r="BL81" s="75"/>
      <c r="BM81" s="75"/>
      <c r="BN81" s="75"/>
      <c r="BO81" s="75"/>
      <c r="BP81" s="75"/>
      <c r="BQ81" s="75"/>
      <c r="BR81" s="75"/>
      <c r="BS81" s="75"/>
      <c r="BT81" s="75"/>
      <c r="BU81" s="75"/>
      <c r="BV81" s="75"/>
      <c r="BW81" s="75"/>
      <c r="BX81" s="75"/>
      <c r="BY81" s="75"/>
      <c r="BZ81" s="75"/>
      <c r="CA81" s="75"/>
      <c r="CB81" s="75"/>
      <c r="CC81" s="75"/>
      <c r="CD81" s="75"/>
    </row>
    <row r="82" spans="1:82" s="118" customFormat="1">
      <c r="A82" s="167" t="str">
        <f>прил.3!B97</f>
        <v>Медосмотр всего:</v>
      </c>
      <c r="B82" s="146" t="s">
        <v>184</v>
      </c>
      <c r="C82" s="178">
        <f>прил.3!G97</f>
        <v>170350</v>
      </c>
      <c r="D82" s="178"/>
      <c r="E82" s="178"/>
      <c r="F82" s="179"/>
      <c r="G82" s="179">
        <f t="shared" ref="G82:G94" si="26">C82</f>
        <v>170350</v>
      </c>
      <c r="H82" s="179">
        <f t="shared" si="25"/>
        <v>270.39999999999998</v>
      </c>
      <c r="I82" s="179">
        <f t="shared" si="25"/>
        <v>270.39999999999998</v>
      </c>
      <c r="J82" s="179">
        <f t="shared" si="25"/>
        <v>270.39999999999998</v>
      </c>
      <c r="K82" s="179">
        <f t="shared" si="25"/>
        <v>270.39999999999998</v>
      </c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5"/>
      <c r="BG82" s="75"/>
      <c r="BH82" s="75"/>
      <c r="BI82" s="75"/>
      <c r="BJ82" s="75"/>
      <c r="BK82" s="75"/>
      <c r="BL82" s="75"/>
      <c r="BM82" s="75"/>
      <c r="BN82" s="75"/>
      <c r="BO82" s="75"/>
      <c r="BP82" s="75"/>
      <c r="BQ82" s="75"/>
      <c r="BR82" s="75"/>
      <c r="BS82" s="75"/>
      <c r="BT82" s="75"/>
      <c r="BU82" s="75"/>
      <c r="BV82" s="75"/>
      <c r="BW82" s="75"/>
      <c r="BX82" s="75"/>
      <c r="BY82" s="75"/>
      <c r="BZ82" s="75"/>
      <c r="CA82" s="75"/>
      <c r="CB82" s="75"/>
      <c r="CC82" s="75"/>
      <c r="CD82" s="75"/>
    </row>
    <row r="83" spans="1:82" s="118" customFormat="1">
      <c r="A83" s="167" t="str">
        <f>прил.3!B102</f>
        <v>1С сопровождение</v>
      </c>
      <c r="B83" s="146" t="s">
        <v>184</v>
      </c>
      <c r="C83" s="178">
        <f>прил.3!G102</f>
        <v>7855.48</v>
      </c>
      <c r="D83" s="178"/>
      <c r="E83" s="178"/>
      <c r="F83" s="179"/>
      <c r="G83" s="179">
        <f t="shared" si="26"/>
        <v>7855.48</v>
      </c>
      <c r="H83" s="179">
        <f t="shared" si="25"/>
        <v>12.47</v>
      </c>
      <c r="I83" s="179">
        <f t="shared" si="25"/>
        <v>12.47</v>
      </c>
      <c r="J83" s="179">
        <f t="shared" si="25"/>
        <v>12.47</v>
      </c>
      <c r="K83" s="179">
        <f t="shared" si="25"/>
        <v>12.47</v>
      </c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  <c r="BH83" s="75"/>
      <c r="BI83" s="75"/>
      <c r="BJ83" s="75"/>
      <c r="BK83" s="75"/>
      <c r="BL83" s="75"/>
      <c r="BM83" s="75"/>
      <c r="BN83" s="75"/>
      <c r="BO83" s="75"/>
      <c r="BP83" s="75"/>
      <c r="BQ83" s="75"/>
      <c r="BR83" s="75"/>
      <c r="BS83" s="75"/>
      <c r="BT83" s="75"/>
      <c r="BU83" s="75"/>
      <c r="BV83" s="75"/>
      <c r="BW83" s="75"/>
      <c r="BX83" s="75"/>
      <c r="BY83" s="75"/>
      <c r="BZ83" s="75"/>
      <c r="CA83" s="75"/>
      <c r="CB83" s="75"/>
      <c r="CC83" s="75"/>
      <c r="CD83" s="75"/>
    </row>
    <row r="84" spans="1:82" s="116" customFormat="1">
      <c r="A84" s="167" t="str">
        <f>прил.3!B103</f>
        <v>Электронная отчетность</v>
      </c>
      <c r="B84" s="146" t="s">
        <v>184</v>
      </c>
      <c r="C84" s="178">
        <f>прил.3!G103</f>
        <v>4900</v>
      </c>
      <c r="D84" s="178"/>
      <c r="E84" s="178"/>
      <c r="F84" s="179"/>
      <c r="G84" s="179">
        <f t="shared" si="26"/>
        <v>4900</v>
      </c>
      <c r="H84" s="179">
        <f t="shared" si="25"/>
        <v>7.78</v>
      </c>
      <c r="I84" s="179">
        <f t="shared" si="25"/>
        <v>7.78</v>
      </c>
      <c r="J84" s="179">
        <f t="shared" si="25"/>
        <v>7.78</v>
      </c>
      <c r="K84" s="179">
        <f t="shared" si="25"/>
        <v>7.78</v>
      </c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5"/>
      <c r="BD84" s="75"/>
      <c r="BE84" s="75"/>
      <c r="BF84" s="75"/>
      <c r="BG84" s="75"/>
      <c r="BH84" s="75"/>
      <c r="BI84" s="75"/>
      <c r="BJ84" s="75"/>
      <c r="BK84" s="75"/>
      <c r="BL84" s="75"/>
      <c r="BM84" s="75"/>
      <c r="BN84" s="75"/>
      <c r="BO84" s="75"/>
      <c r="BP84" s="75"/>
      <c r="BQ84" s="75"/>
      <c r="BR84" s="75"/>
      <c r="BS84" s="75"/>
      <c r="BT84" s="75"/>
      <c r="BU84" s="75"/>
      <c r="BV84" s="75"/>
      <c r="BW84" s="75"/>
      <c r="BX84" s="75"/>
      <c r="BY84" s="75"/>
      <c r="BZ84" s="75"/>
      <c r="CA84" s="75"/>
      <c r="CB84" s="75"/>
      <c r="CC84" s="75"/>
      <c r="CD84" s="75"/>
    </row>
    <row r="85" spans="1:82" s="116" customFormat="1">
      <c r="A85" s="167" t="str">
        <f>прил.3!B104</f>
        <v>предоставление места ЛКС</v>
      </c>
      <c r="B85" s="146" t="s">
        <v>184</v>
      </c>
      <c r="C85" s="178">
        <f>прил.3!G104</f>
        <v>5692.32</v>
      </c>
      <c r="D85" s="178"/>
      <c r="E85" s="178"/>
      <c r="F85" s="179"/>
      <c r="G85" s="179">
        <f t="shared" si="26"/>
        <v>5692.32</v>
      </c>
      <c r="H85" s="179">
        <f>IF(H$5&lt;=0,0,IF($G85=0,0,ROUND($G85/($H$5+$I$5+$J$5+$K$5),2)))</f>
        <v>9.0399999999999991</v>
      </c>
      <c r="I85" s="179">
        <f t="shared" si="25"/>
        <v>9.0399999999999991</v>
      </c>
      <c r="J85" s="179">
        <f t="shared" si="25"/>
        <v>9.0399999999999991</v>
      </c>
      <c r="K85" s="179">
        <f t="shared" si="25"/>
        <v>9.0399999999999991</v>
      </c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  <c r="BH85" s="75"/>
      <c r="BI85" s="75"/>
      <c r="BJ85" s="75"/>
      <c r="BK85" s="75"/>
      <c r="BL85" s="75"/>
      <c r="BM85" s="75"/>
      <c r="BN85" s="75"/>
      <c r="BO85" s="75"/>
      <c r="BP85" s="75"/>
      <c r="BQ85" s="75"/>
      <c r="BR85" s="75"/>
      <c r="BS85" s="75"/>
      <c r="BT85" s="75"/>
      <c r="BU85" s="75"/>
      <c r="BV85" s="75"/>
      <c r="BW85" s="75"/>
      <c r="BX85" s="75"/>
      <c r="BY85" s="75"/>
      <c r="BZ85" s="75"/>
      <c r="CA85" s="75"/>
      <c r="CB85" s="75"/>
      <c r="CC85" s="75"/>
      <c r="CD85" s="75"/>
    </row>
    <row r="86" spans="1:82" s="118" customFormat="1">
      <c r="A86" s="167" t="str">
        <f>прил.3!B105</f>
        <v>Перевыпуск сертификатов ЭЦП</v>
      </c>
      <c r="B86" s="146" t="s">
        <v>184</v>
      </c>
      <c r="C86" s="178">
        <f>прил.3!G105</f>
        <v>0</v>
      </c>
      <c r="D86" s="178"/>
      <c r="E86" s="178"/>
      <c r="F86" s="178"/>
      <c r="G86" s="179">
        <f t="shared" si="26"/>
        <v>0</v>
      </c>
      <c r="H86" s="179">
        <f t="shared" ref="H86:K94" si="27">IF(H$5&lt;=0,0,IF($G86=0,0,ROUND($G86/($H$5+$I$5+$J$5+$K$5),2)))</f>
        <v>0</v>
      </c>
      <c r="I86" s="179">
        <f t="shared" si="25"/>
        <v>0</v>
      </c>
      <c r="J86" s="179">
        <f t="shared" si="25"/>
        <v>0</v>
      </c>
      <c r="K86" s="179">
        <f t="shared" si="25"/>
        <v>0</v>
      </c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75"/>
      <c r="BD86" s="75"/>
      <c r="BE86" s="75"/>
      <c r="BF86" s="75"/>
      <c r="BG86" s="75"/>
      <c r="BH86" s="75"/>
      <c r="BI86" s="75"/>
      <c r="BJ86" s="75"/>
      <c r="BK86" s="75"/>
      <c r="BL86" s="75"/>
      <c r="BM86" s="75"/>
      <c r="BN86" s="75"/>
      <c r="BO86" s="75"/>
      <c r="BP86" s="75"/>
      <c r="BQ86" s="75"/>
      <c r="BR86" s="75"/>
      <c r="BS86" s="75"/>
      <c r="BT86" s="75"/>
      <c r="BU86" s="75"/>
      <c r="BV86" s="75"/>
      <c r="BW86" s="75"/>
      <c r="BX86" s="75"/>
      <c r="BY86" s="75"/>
      <c r="BZ86" s="75"/>
      <c r="CA86" s="75"/>
      <c r="CB86" s="75"/>
      <c r="CC86" s="75"/>
      <c r="CD86" s="75"/>
    </row>
    <row r="87" spans="1:82" s="118" customFormat="1">
      <c r="A87" s="167" t="str">
        <f>прил.3!B106</f>
        <v>Договор подряда</v>
      </c>
      <c r="B87" s="146" t="s">
        <v>184</v>
      </c>
      <c r="C87" s="178">
        <f>прил.3!G106</f>
        <v>75218</v>
      </c>
      <c r="D87" s="178"/>
      <c r="E87" s="178"/>
      <c r="F87" s="179"/>
      <c r="G87" s="179">
        <f t="shared" si="26"/>
        <v>75218</v>
      </c>
      <c r="H87" s="179">
        <f t="shared" si="27"/>
        <v>119.39</v>
      </c>
      <c r="I87" s="179">
        <f t="shared" si="25"/>
        <v>119.39</v>
      </c>
      <c r="J87" s="179">
        <f t="shared" si="25"/>
        <v>119.39</v>
      </c>
      <c r="K87" s="179">
        <f t="shared" si="25"/>
        <v>119.39</v>
      </c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5"/>
      <c r="BG87" s="75"/>
      <c r="BH87" s="75"/>
      <c r="BI87" s="75"/>
      <c r="BJ87" s="75"/>
      <c r="BK87" s="75"/>
      <c r="BL87" s="75"/>
      <c r="BM87" s="75"/>
      <c r="BN87" s="75"/>
      <c r="BO87" s="75"/>
      <c r="BP87" s="75"/>
      <c r="BQ87" s="75"/>
      <c r="BR87" s="75"/>
      <c r="BS87" s="75"/>
      <c r="BT87" s="75"/>
      <c r="BU87" s="75"/>
      <c r="BV87" s="75"/>
      <c r="BW87" s="75"/>
      <c r="BX87" s="75"/>
      <c r="BY87" s="75"/>
      <c r="BZ87" s="75"/>
      <c r="CA87" s="75"/>
      <c r="CB87" s="75"/>
      <c r="CC87" s="75"/>
      <c r="CD87" s="75"/>
    </row>
    <row r="88" spans="1:82" s="118" customFormat="1">
      <c r="A88" s="167" t="str">
        <f>прил.3!B107</f>
        <v>услуга по организации питания</v>
      </c>
      <c r="B88" s="146" t="s">
        <v>184</v>
      </c>
      <c r="C88" s="178">
        <f>прил.3!G107</f>
        <v>1063479.1000000001</v>
      </c>
      <c r="D88" s="178"/>
      <c r="E88" s="178"/>
      <c r="F88" s="179"/>
      <c r="G88" s="179">
        <f t="shared" si="26"/>
        <v>1063479.1000000001</v>
      </c>
      <c r="H88" s="179">
        <f t="shared" si="27"/>
        <v>1688.06</v>
      </c>
      <c r="I88" s="179">
        <f t="shared" si="25"/>
        <v>1688.06</v>
      </c>
      <c r="J88" s="179">
        <f t="shared" si="25"/>
        <v>1688.06</v>
      </c>
      <c r="K88" s="179">
        <f t="shared" si="25"/>
        <v>1688.06</v>
      </c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75"/>
      <c r="BL88" s="75"/>
      <c r="BM88" s="75"/>
      <c r="BN88" s="75"/>
      <c r="BO88" s="75"/>
      <c r="BP88" s="75"/>
      <c r="BQ88" s="75"/>
      <c r="BR88" s="75"/>
      <c r="BS88" s="75"/>
      <c r="BT88" s="75"/>
      <c r="BU88" s="75"/>
      <c r="BV88" s="75"/>
      <c r="BW88" s="75"/>
      <c r="BX88" s="75"/>
      <c r="BY88" s="75"/>
      <c r="BZ88" s="75"/>
      <c r="CA88" s="75"/>
      <c r="CB88" s="75"/>
      <c r="CC88" s="75"/>
      <c r="CD88" s="75"/>
    </row>
    <row r="89" spans="1:82" s="118" customFormat="1">
      <c r="A89" s="167" t="str">
        <f>прил.3!B108</f>
        <v>Курсы повышения квалификации</v>
      </c>
      <c r="B89" s="146" t="s">
        <v>184</v>
      </c>
      <c r="C89" s="178">
        <f>прил.3!G108</f>
        <v>0</v>
      </c>
      <c r="D89" s="178"/>
      <c r="E89" s="178"/>
      <c r="F89" s="179"/>
      <c r="G89" s="179">
        <f t="shared" si="26"/>
        <v>0</v>
      </c>
      <c r="H89" s="179">
        <f t="shared" si="27"/>
        <v>0</v>
      </c>
      <c r="I89" s="179">
        <f t="shared" si="25"/>
        <v>0</v>
      </c>
      <c r="J89" s="179">
        <f t="shared" si="25"/>
        <v>0</v>
      </c>
      <c r="K89" s="179">
        <f t="shared" si="25"/>
        <v>0</v>
      </c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5"/>
      <c r="AO89" s="75"/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  <c r="BH89" s="75"/>
      <c r="BI89" s="75"/>
      <c r="BJ89" s="75"/>
      <c r="BK89" s="75"/>
      <c r="BL89" s="75"/>
      <c r="BM89" s="75"/>
      <c r="BN89" s="75"/>
      <c r="BO89" s="75"/>
      <c r="BP89" s="75"/>
      <c r="BQ89" s="75"/>
      <c r="BR89" s="75"/>
      <c r="BS89" s="75"/>
      <c r="BT89" s="75"/>
      <c r="BU89" s="75"/>
      <c r="BV89" s="75"/>
      <c r="BW89" s="75"/>
      <c r="BX89" s="75"/>
      <c r="BY89" s="75"/>
      <c r="BZ89" s="75"/>
      <c r="CA89" s="75"/>
      <c r="CB89" s="75"/>
      <c r="CC89" s="75"/>
      <c r="CD89" s="75"/>
    </row>
    <row r="90" spans="1:82" s="118" customFormat="1">
      <c r="A90" s="167">
        <f>прил.3!B109</f>
        <v>0</v>
      </c>
      <c r="B90" s="146" t="s">
        <v>184</v>
      </c>
      <c r="C90" s="178">
        <f>прил.3!G109</f>
        <v>0</v>
      </c>
      <c r="D90" s="178"/>
      <c r="E90" s="178"/>
      <c r="F90" s="179"/>
      <c r="G90" s="179">
        <f t="shared" si="26"/>
        <v>0</v>
      </c>
      <c r="H90" s="179">
        <f t="shared" si="27"/>
        <v>0</v>
      </c>
      <c r="I90" s="179">
        <f t="shared" si="25"/>
        <v>0</v>
      </c>
      <c r="J90" s="179">
        <f t="shared" si="25"/>
        <v>0</v>
      </c>
      <c r="K90" s="179">
        <f t="shared" si="25"/>
        <v>0</v>
      </c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  <c r="BH90" s="75"/>
      <c r="BI90" s="75"/>
      <c r="BJ90" s="75"/>
      <c r="BK90" s="75"/>
      <c r="BL90" s="75"/>
      <c r="BM90" s="75"/>
      <c r="BN90" s="75"/>
      <c r="BO90" s="75"/>
      <c r="BP90" s="75"/>
      <c r="BQ90" s="75"/>
      <c r="BR90" s="75"/>
      <c r="BS90" s="75"/>
      <c r="BT90" s="75"/>
      <c r="BU90" s="75"/>
      <c r="BV90" s="75"/>
      <c r="BW90" s="75"/>
      <c r="BX90" s="75"/>
      <c r="BY90" s="75"/>
      <c r="BZ90" s="75"/>
      <c r="CA90" s="75"/>
      <c r="CB90" s="75"/>
      <c r="CC90" s="75"/>
      <c r="CD90" s="75"/>
    </row>
    <row r="91" spans="1:82" s="118" customFormat="1">
      <c r="A91" s="167">
        <f>прил.3!B110</f>
        <v>0</v>
      </c>
      <c r="B91" s="146" t="s">
        <v>184</v>
      </c>
      <c r="C91" s="178">
        <f>прил.3!G110</f>
        <v>0</v>
      </c>
      <c r="D91" s="178"/>
      <c r="E91" s="178"/>
      <c r="F91" s="179"/>
      <c r="G91" s="179">
        <f t="shared" si="26"/>
        <v>0</v>
      </c>
      <c r="H91" s="179">
        <f t="shared" si="27"/>
        <v>0</v>
      </c>
      <c r="I91" s="179">
        <f t="shared" si="25"/>
        <v>0</v>
      </c>
      <c r="J91" s="179">
        <f t="shared" si="25"/>
        <v>0</v>
      </c>
      <c r="K91" s="179">
        <f t="shared" si="25"/>
        <v>0</v>
      </c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  <c r="BH91" s="75"/>
      <c r="BI91" s="75"/>
      <c r="BJ91" s="75"/>
      <c r="BK91" s="75"/>
      <c r="BL91" s="75"/>
      <c r="BM91" s="75"/>
      <c r="BN91" s="75"/>
      <c r="BO91" s="75"/>
      <c r="BP91" s="75"/>
      <c r="BQ91" s="75"/>
      <c r="BR91" s="75"/>
      <c r="BS91" s="75"/>
      <c r="BT91" s="75"/>
      <c r="BU91" s="75"/>
      <c r="BV91" s="75"/>
      <c r="BW91" s="75"/>
      <c r="BX91" s="75"/>
      <c r="BY91" s="75"/>
      <c r="BZ91" s="75"/>
      <c r="CA91" s="75"/>
      <c r="CB91" s="75"/>
      <c r="CC91" s="75"/>
      <c r="CD91" s="75"/>
    </row>
    <row r="92" spans="1:82" s="118" customFormat="1">
      <c r="A92" s="167">
        <f>прил.3!B111</f>
        <v>0</v>
      </c>
      <c r="B92" s="146" t="s">
        <v>184</v>
      </c>
      <c r="C92" s="178">
        <f>прил.3!G111</f>
        <v>0</v>
      </c>
      <c r="D92" s="178"/>
      <c r="E92" s="178"/>
      <c r="F92" s="179"/>
      <c r="G92" s="179">
        <f t="shared" si="26"/>
        <v>0</v>
      </c>
      <c r="H92" s="179">
        <f t="shared" si="27"/>
        <v>0</v>
      </c>
      <c r="I92" s="179">
        <f t="shared" si="25"/>
        <v>0</v>
      </c>
      <c r="J92" s="179">
        <f t="shared" si="25"/>
        <v>0</v>
      </c>
      <c r="K92" s="179">
        <f t="shared" si="25"/>
        <v>0</v>
      </c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  <c r="BH92" s="75"/>
      <c r="BI92" s="75"/>
      <c r="BJ92" s="75"/>
      <c r="BK92" s="75"/>
      <c r="BL92" s="75"/>
      <c r="BM92" s="75"/>
      <c r="BN92" s="75"/>
      <c r="BO92" s="75"/>
      <c r="BP92" s="75"/>
      <c r="BQ92" s="75"/>
      <c r="BR92" s="75"/>
      <c r="BS92" s="75"/>
      <c r="BT92" s="75"/>
      <c r="BU92" s="75"/>
      <c r="BV92" s="75"/>
      <c r="BW92" s="75"/>
      <c r="BX92" s="75"/>
      <c r="BY92" s="75"/>
      <c r="BZ92" s="75"/>
      <c r="CA92" s="75"/>
      <c r="CB92" s="75"/>
      <c r="CC92" s="75"/>
      <c r="CD92" s="75"/>
    </row>
    <row r="93" spans="1:82" s="118" customFormat="1">
      <c r="A93" s="167" t="str">
        <f>прил.3!B112</f>
        <v>Госпошлина</v>
      </c>
      <c r="B93" s="146" t="s">
        <v>184</v>
      </c>
      <c r="C93" s="178">
        <f>прил.3!G112</f>
        <v>0</v>
      </c>
      <c r="D93" s="178"/>
      <c r="E93" s="178"/>
      <c r="F93" s="179"/>
      <c r="G93" s="179">
        <f t="shared" si="26"/>
        <v>0</v>
      </c>
      <c r="H93" s="179">
        <f t="shared" si="27"/>
        <v>0</v>
      </c>
      <c r="I93" s="179">
        <f t="shared" si="25"/>
        <v>0</v>
      </c>
      <c r="J93" s="179">
        <f t="shared" si="25"/>
        <v>0</v>
      </c>
      <c r="K93" s="179">
        <f t="shared" si="25"/>
        <v>0</v>
      </c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5"/>
      <c r="BE93" s="75"/>
      <c r="BF93" s="75"/>
      <c r="BG93" s="75"/>
      <c r="BH93" s="75"/>
      <c r="BI93" s="75"/>
      <c r="BJ93" s="75"/>
      <c r="BK93" s="75"/>
      <c r="BL93" s="75"/>
      <c r="BM93" s="75"/>
      <c r="BN93" s="75"/>
      <c r="BO93" s="75"/>
      <c r="BP93" s="75"/>
      <c r="BQ93" s="75"/>
      <c r="BR93" s="75"/>
      <c r="BS93" s="75"/>
      <c r="BT93" s="75"/>
      <c r="BU93" s="75"/>
      <c r="BV93" s="75"/>
      <c r="BW93" s="75"/>
      <c r="BX93" s="75"/>
      <c r="BY93" s="75"/>
      <c r="BZ93" s="75"/>
      <c r="CA93" s="75"/>
      <c r="CB93" s="75"/>
      <c r="CC93" s="75"/>
      <c r="CD93" s="75"/>
    </row>
    <row r="94" spans="1:82" s="118" customFormat="1">
      <c r="A94" s="167"/>
      <c r="B94" s="146" t="s">
        <v>184</v>
      </c>
      <c r="C94" s="178"/>
      <c r="D94" s="178"/>
      <c r="E94" s="178"/>
      <c r="F94" s="179"/>
      <c r="G94" s="179">
        <f t="shared" si="26"/>
        <v>0</v>
      </c>
      <c r="H94" s="179">
        <f t="shared" si="27"/>
        <v>0</v>
      </c>
      <c r="I94" s="179">
        <f t="shared" si="27"/>
        <v>0</v>
      </c>
      <c r="J94" s="179">
        <f t="shared" si="27"/>
        <v>0</v>
      </c>
      <c r="K94" s="179">
        <f t="shared" si="27"/>
        <v>0</v>
      </c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75"/>
      <c r="AO94" s="75"/>
      <c r="AP94" s="75"/>
      <c r="AQ94" s="75"/>
      <c r="AR94" s="75"/>
      <c r="AS94" s="75"/>
      <c r="AT94" s="75"/>
      <c r="AU94" s="75"/>
      <c r="AV94" s="75"/>
      <c r="AW94" s="75"/>
      <c r="AX94" s="75"/>
      <c r="AY94" s="75"/>
      <c r="AZ94" s="75"/>
      <c r="BA94" s="75"/>
      <c r="BB94" s="75"/>
      <c r="BC94" s="75"/>
      <c r="BD94" s="75"/>
      <c r="BE94" s="75"/>
      <c r="BF94" s="75"/>
      <c r="BG94" s="75"/>
      <c r="BH94" s="75"/>
      <c r="BI94" s="75"/>
      <c r="BJ94" s="75"/>
      <c r="BK94" s="75"/>
      <c r="BL94" s="75"/>
      <c r="BM94" s="75"/>
      <c r="BN94" s="75"/>
      <c r="BO94" s="75"/>
      <c r="BP94" s="75"/>
      <c r="BQ94" s="75"/>
      <c r="BR94" s="75"/>
      <c r="BS94" s="75"/>
      <c r="BT94" s="75"/>
      <c r="BU94" s="75"/>
      <c r="BV94" s="75"/>
      <c r="BW94" s="75"/>
      <c r="BX94" s="75"/>
      <c r="BY94" s="75"/>
      <c r="BZ94" s="75"/>
      <c r="CA94" s="75"/>
      <c r="CB94" s="75"/>
      <c r="CC94" s="75"/>
      <c r="CD94" s="75"/>
    </row>
    <row r="95" spans="1:82" s="116" customFormat="1">
      <c r="A95" s="168" t="s">
        <v>201</v>
      </c>
      <c r="B95" s="168"/>
      <c r="C95" s="184">
        <f>SUM(C81:C94)</f>
        <v>1563454.9000000001</v>
      </c>
      <c r="D95" s="184">
        <f>SUM(D81:D93)</f>
        <v>0</v>
      </c>
      <c r="E95" s="184">
        <f t="shared" ref="E95:F95" si="28">SUM(E81:E93)</f>
        <v>0</v>
      </c>
      <c r="F95" s="184">
        <f t="shared" si="28"/>
        <v>0</v>
      </c>
      <c r="G95" s="184">
        <f>SUM(G81:G94)</f>
        <v>1563454.9000000001</v>
      </c>
      <c r="H95" s="184">
        <f>SUM(H81:H94)</f>
        <v>2481.6799999999998</v>
      </c>
      <c r="I95" s="184">
        <f>SUM(I81:I94)</f>
        <v>2481.6799999999998</v>
      </c>
      <c r="J95" s="184">
        <f>SUM(J81:J94)</f>
        <v>2481.6799999999998</v>
      </c>
      <c r="K95" s="184">
        <f>SUM(K81:K94)</f>
        <v>2481.6799999999998</v>
      </c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75"/>
      <c r="AO95" s="75"/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E95" s="75"/>
      <c r="BF95" s="75"/>
      <c r="BG95" s="75"/>
      <c r="BH95" s="75"/>
      <c r="BI95" s="75"/>
      <c r="BJ95" s="75"/>
      <c r="BK95" s="75"/>
      <c r="BL95" s="75"/>
      <c r="BM95" s="75"/>
      <c r="BN95" s="75"/>
      <c r="BO95" s="75"/>
      <c r="BP95" s="75"/>
      <c r="BQ95" s="75"/>
      <c r="BR95" s="75"/>
      <c r="BS95" s="75"/>
      <c r="BT95" s="75"/>
      <c r="BU95" s="75"/>
      <c r="BV95" s="75"/>
      <c r="BW95" s="75"/>
      <c r="BX95" s="75"/>
      <c r="BY95" s="75"/>
      <c r="BZ95" s="75"/>
      <c r="CA95" s="75"/>
      <c r="CB95" s="75"/>
      <c r="CC95" s="75"/>
      <c r="CD95" s="75"/>
    </row>
    <row r="96" spans="1:82" s="118" customFormat="1" ht="31.5" hidden="1" customHeight="1">
      <c r="A96" s="538" t="s">
        <v>202</v>
      </c>
      <c r="B96" s="538"/>
      <c r="C96" s="538"/>
      <c r="D96" s="538"/>
      <c r="E96" s="538"/>
      <c r="F96" s="538"/>
      <c r="G96" s="538"/>
      <c r="H96" s="538"/>
      <c r="I96" s="538"/>
      <c r="J96" s="538"/>
      <c r="K96" s="538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5"/>
      <c r="BD96" s="75"/>
      <c r="BE96" s="75"/>
      <c r="BF96" s="75"/>
      <c r="BG96" s="75"/>
      <c r="BH96" s="75"/>
      <c r="BI96" s="75"/>
      <c r="BJ96" s="75"/>
      <c r="BK96" s="75"/>
      <c r="BL96" s="75"/>
      <c r="BM96" s="75"/>
      <c r="BN96" s="75"/>
      <c r="BO96" s="75"/>
      <c r="BP96" s="75"/>
      <c r="BQ96" s="75"/>
      <c r="BR96" s="75"/>
      <c r="BS96" s="75"/>
      <c r="BT96" s="75"/>
      <c r="BU96" s="75"/>
      <c r="BV96" s="75"/>
      <c r="BW96" s="75"/>
      <c r="BX96" s="75"/>
      <c r="BY96" s="75"/>
      <c r="BZ96" s="75"/>
      <c r="CA96" s="75"/>
      <c r="CB96" s="75"/>
      <c r="CC96" s="75"/>
      <c r="CD96" s="75"/>
    </row>
    <row r="97" spans="1:82" s="116" customFormat="1" hidden="1">
      <c r="A97" s="169" t="s">
        <v>163</v>
      </c>
      <c r="B97" s="146" t="s">
        <v>184</v>
      </c>
      <c r="C97" s="178">
        <f>прил.4!F6</f>
        <v>0</v>
      </c>
      <c r="D97" s="178"/>
      <c r="E97" s="178"/>
      <c r="F97" s="179"/>
      <c r="G97" s="179">
        <f>прил.4!F6</f>
        <v>0</v>
      </c>
      <c r="H97" s="179">
        <f t="shared" ref="H97:K98" si="29">IF(H$5&lt;=0,0,IF($G97=0,0,ROUND($G97/($H$5+$I$5+$J$5+$K$5),2)))</f>
        <v>0</v>
      </c>
      <c r="I97" s="179">
        <f t="shared" si="29"/>
        <v>0</v>
      </c>
      <c r="J97" s="179">
        <f t="shared" si="29"/>
        <v>0</v>
      </c>
      <c r="K97" s="179">
        <f t="shared" si="29"/>
        <v>0</v>
      </c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75"/>
      <c r="BE97" s="75"/>
      <c r="BF97" s="75"/>
      <c r="BG97" s="75"/>
      <c r="BH97" s="75"/>
      <c r="BI97" s="75"/>
      <c r="BJ97" s="75"/>
      <c r="BK97" s="75"/>
      <c r="BL97" s="75"/>
      <c r="BM97" s="75"/>
      <c r="BN97" s="75"/>
      <c r="BO97" s="75"/>
      <c r="BP97" s="75"/>
      <c r="BQ97" s="75"/>
      <c r="BR97" s="75"/>
      <c r="BS97" s="75"/>
      <c r="BT97" s="75"/>
      <c r="BU97" s="75"/>
      <c r="BV97" s="75"/>
      <c r="BW97" s="75"/>
      <c r="BX97" s="75"/>
      <c r="BY97" s="75"/>
      <c r="BZ97" s="75"/>
      <c r="CA97" s="75"/>
      <c r="CB97" s="75"/>
      <c r="CC97" s="75"/>
      <c r="CD97" s="75"/>
    </row>
    <row r="98" spans="1:82" s="118" customFormat="1" hidden="1">
      <c r="A98" s="169" t="s">
        <v>164</v>
      </c>
      <c r="B98" s="146" t="s">
        <v>184</v>
      </c>
      <c r="C98" s="178">
        <f>прил.4!F7</f>
        <v>0</v>
      </c>
      <c r="D98" s="178"/>
      <c r="E98" s="178"/>
      <c r="F98" s="179"/>
      <c r="G98" s="179">
        <f>прил.4!F7</f>
        <v>0</v>
      </c>
      <c r="H98" s="179">
        <f t="shared" si="29"/>
        <v>0</v>
      </c>
      <c r="I98" s="179">
        <f t="shared" si="29"/>
        <v>0</v>
      </c>
      <c r="J98" s="179">
        <f t="shared" si="29"/>
        <v>0</v>
      </c>
      <c r="K98" s="179">
        <f t="shared" si="29"/>
        <v>0</v>
      </c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75"/>
      <c r="AO98" s="75"/>
      <c r="AP98" s="75"/>
      <c r="AQ98" s="75"/>
      <c r="AR98" s="75"/>
      <c r="AS98" s="75"/>
      <c r="AT98" s="75"/>
      <c r="AU98" s="75"/>
      <c r="AV98" s="75"/>
      <c r="AW98" s="75"/>
      <c r="AX98" s="75"/>
      <c r="AY98" s="75"/>
      <c r="AZ98" s="75"/>
      <c r="BA98" s="75"/>
      <c r="BB98" s="75"/>
      <c r="BC98" s="75"/>
      <c r="BD98" s="75"/>
      <c r="BE98" s="75"/>
      <c r="BF98" s="75"/>
      <c r="BG98" s="75"/>
      <c r="BH98" s="75"/>
      <c r="BI98" s="75"/>
      <c r="BJ98" s="75"/>
      <c r="BK98" s="75"/>
      <c r="BL98" s="75"/>
      <c r="BM98" s="75"/>
      <c r="BN98" s="75"/>
      <c r="BO98" s="75"/>
      <c r="BP98" s="75"/>
      <c r="BQ98" s="75"/>
      <c r="BR98" s="75"/>
      <c r="BS98" s="75"/>
      <c r="BT98" s="75"/>
      <c r="BU98" s="75"/>
      <c r="BV98" s="75"/>
      <c r="BW98" s="75"/>
      <c r="BX98" s="75"/>
      <c r="BY98" s="75"/>
      <c r="BZ98" s="75"/>
      <c r="CA98" s="75"/>
      <c r="CB98" s="75"/>
      <c r="CC98" s="75"/>
      <c r="CD98" s="75"/>
    </row>
    <row r="99" spans="1:82" s="118" customFormat="1" hidden="1">
      <c r="A99" s="166" t="s">
        <v>201</v>
      </c>
      <c r="B99" s="166"/>
      <c r="C99" s="181">
        <f>C97+C98</f>
        <v>0</v>
      </c>
      <c r="D99" s="181">
        <f>D97+D98</f>
        <v>0</v>
      </c>
      <c r="E99" s="181">
        <f t="shared" ref="E99:K99" si="30">E97+E98</f>
        <v>0</v>
      </c>
      <c r="F99" s="181">
        <f t="shared" si="30"/>
        <v>0</v>
      </c>
      <c r="G99" s="181">
        <f t="shared" si="30"/>
        <v>0</v>
      </c>
      <c r="H99" s="181">
        <f t="shared" si="30"/>
        <v>0</v>
      </c>
      <c r="I99" s="181">
        <f t="shared" si="30"/>
        <v>0</v>
      </c>
      <c r="J99" s="181">
        <f t="shared" si="30"/>
        <v>0</v>
      </c>
      <c r="K99" s="181">
        <f t="shared" si="30"/>
        <v>0</v>
      </c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5"/>
      <c r="AM99" s="75"/>
      <c r="AN99" s="75"/>
      <c r="AO99" s="75"/>
      <c r="AP99" s="75"/>
      <c r="AQ99" s="75"/>
      <c r="AR99" s="75"/>
      <c r="AS99" s="75"/>
      <c r="AT99" s="75"/>
      <c r="AU99" s="75"/>
      <c r="AV99" s="75"/>
      <c r="AW99" s="75"/>
      <c r="AX99" s="75"/>
      <c r="AY99" s="75"/>
      <c r="AZ99" s="75"/>
      <c r="BA99" s="75"/>
      <c r="BB99" s="75"/>
      <c r="BC99" s="75"/>
      <c r="BD99" s="75"/>
      <c r="BE99" s="75"/>
      <c r="BF99" s="75"/>
      <c r="BG99" s="75"/>
      <c r="BH99" s="75"/>
      <c r="BI99" s="75"/>
      <c r="BJ99" s="75"/>
      <c r="BK99" s="75"/>
      <c r="BL99" s="75"/>
      <c r="BM99" s="75"/>
      <c r="BN99" s="75"/>
      <c r="BO99" s="75"/>
      <c r="BP99" s="75"/>
      <c r="BQ99" s="75"/>
      <c r="BR99" s="75"/>
      <c r="BS99" s="75"/>
      <c r="BT99" s="75"/>
      <c r="BU99" s="75"/>
      <c r="BV99" s="75"/>
      <c r="BW99" s="75"/>
      <c r="BX99" s="75"/>
      <c r="BY99" s="75"/>
      <c r="BZ99" s="75"/>
      <c r="CA99" s="75"/>
      <c r="CB99" s="75"/>
      <c r="CC99" s="75"/>
      <c r="CD99" s="75"/>
    </row>
    <row r="100" spans="1:82" s="118" customFormat="1" ht="21.75" hidden="1" customHeight="1">
      <c r="A100" s="540" t="s">
        <v>203</v>
      </c>
      <c r="B100" s="540"/>
      <c r="C100" s="540"/>
      <c r="D100" s="540"/>
      <c r="E100" s="540"/>
      <c r="F100" s="540"/>
      <c r="G100" s="540"/>
      <c r="H100" s="540"/>
      <c r="I100" s="540"/>
      <c r="J100" s="540"/>
      <c r="K100" s="540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  <c r="AK100" s="75"/>
      <c r="AL100" s="75"/>
      <c r="AM100" s="75"/>
      <c r="AN100" s="75"/>
      <c r="AO100" s="75"/>
      <c r="AP100" s="75"/>
      <c r="AQ100" s="75"/>
      <c r="AR100" s="75"/>
      <c r="AS100" s="75"/>
      <c r="AT100" s="75"/>
      <c r="AU100" s="75"/>
      <c r="AV100" s="75"/>
      <c r="AW100" s="75"/>
      <c r="AX100" s="75"/>
      <c r="AY100" s="75"/>
      <c r="AZ100" s="75"/>
      <c r="BA100" s="75"/>
      <c r="BB100" s="75"/>
      <c r="BC100" s="75"/>
      <c r="BD100" s="75"/>
      <c r="BE100" s="75"/>
      <c r="BF100" s="75"/>
      <c r="BG100" s="75"/>
      <c r="BH100" s="75"/>
      <c r="BI100" s="75"/>
      <c r="BJ100" s="75"/>
      <c r="BK100" s="75"/>
      <c r="BL100" s="75"/>
      <c r="BM100" s="75"/>
      <c r="BN100" s="75"/>
      <c r="BO100" s="75"/>
      <c r="BP100" s="75"/>
      <c r="BQ100" s="75"/>
      <c r="BR100" s="75"/>
      <c r="BS100" s="75"/>
      <c r="BT100" s="75"/>
      <c r="BU100" s="75"/>
      <c r="BV100" s="75"/>
      <c r="BW100" s="75"/>
      <c r="BX100" s="75"/>
      <c r="BY100" s="75"/>
      <c r="BZ100" s="75"/>
      <c r="CA100" s="75"/>
      <c r="CB100" s="75"/>
      <c r="CC100" s="75"/>
      <c r="CD100" s="75"/>
    </row>
    <row r="101" spans="1:82" s="116" customFormat="1" hidden="1">
      <c r="A101" s="169" t="s">
        <v>167</v>
      </c>
      <c r="B101" s="146" t="s">
        <v>184</v>
      </c>
      <c r="C101" s="185">
        <f>прил.4!F12</f>
        <v>0</v>
      </c>
      <c r="D101" s="185"/>
      <c r="E101" s="178"/>
      <c r="F101" s="179"/>
      <c r="G101" s="179">
        <f>прил.4!F12</f>
        <v>0</v>
      </c>
      <c r="H101" s="179">
        <f t="shared" ref="H101:K104" si="31">IF(H$5&lt;=0,0,IF($G101=0,0,ROUND($G101/($H$5+$I$5+$J$5+$K$5),2)))</f>
        <v>0</v>
      </c>
      <c r="I101" s="179">
        <f t="shared" si="31"/>
        <v>0</v>
      </c>
      <c r="J101" s="179">
        <f t="shared" si="31"/>
        <v>0</v>
      </c>
      <c r="K101" s="179">
        <f t="shared" si="31"/>
        <v>0</v>
      </c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75"/>
      <c r="AO101" s="75"/>
      <c r="AP101" s="75"/>
      <c r="AQ101" s="75"/>
      <c r="AR101" s="75"/>
      <c r="AS101" s="75"/>
      <c r="AT101" s="75"/>
      <c r="AU101" s="75"/>
      <c r="AV101" s="75"/>
      <c r="AW101" s="75"/>
      <c r="AX101" s="75"/>
      <c r="AY101" s="75"/>
      <c r="AZ101" s="75"/>
      <c r="BA101" s="75"/>
      <c r="BB101" s="75"/>
      <c r="BC101" s="75"/>
      <c r="BD101" s="75"/>
      <c r="BE101" s="75"/>
      <c r="BF101" s="75"/>
      <c r="BG101" s="75"/>
      <c r="BH101" s="75"/>
      <c r="BI101" s="75"/>
      <c r="BJ101" s="75"/>
      <c r="BK101" s="75"/>
      <c r="BL101" s="75"/>
      <c r="BM101" s="75"/>
      <c r="BN101" s="75"/>
      <c r="BO101" s="75"/>
      <c r="BP101" s="75"/>
      <c r="BQ101" s="75"/>
      <c r="BR101" s="75"/>
      <c r="BS101" s="75"/>
      <c r="BT101" s="75"/>
      <c r="BU101" s="75"/>
      <c r="BV101" s="75"/>
      <c r="BW101" s="75"/>
      <c r="BX101" s="75"/>
      <c r="BY101" s="75"/>
      <c r="BZ101" s="75"/>
      <c r="CA101" s="75"/>
      <c r="CB101" s="75"/>
      <c r="CC101" s="75"/>
      <c r="CD101" s="75"/>
    </row>
    <row r="102" spans="1:82" s="118" customFormat="1" hidden="1">
      <c r="A102" s="169" t="s">
        <v>168</v>
      </c>
      <c r="B102" s="146" t="s">
        <v>184</v>
      </c>
      <c r="C102" s="185">
        <f>прил.4!F13</f>
        <v>0</v>
      </c>
      <c r="D102" s="185"/>
      <c r="E102" s="178"/>
      <c r="F102" s="179"/>
      <c r="G102" s="179">
        <f>прил.4!F13</f>
        <v>0</v>
      </c>
      <c r="H102" s="179">
        <f t="shared" si="31"/>
        <v>0</v>
      </c>
      <c r="I102" s="179">
        <f t="shared" si="31"/>
        <v>0</v>
      </c>
      <c r="J102" s="179">
        <f t="shared" si="31"/>
        <v>0</v>
      </c>
      <c r="K102" s="179">
        <f t="shared" si="31"/>
        <v>0</v>
      </c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  <c r="AN102" s="75"/>
      <c r="AO102" s="75"/>
      <c r="AP102" s="75"/>
      <c r="AQ102" s="75"/>
      <c r="AR102" s="75"/>
      <c r="AS102" s="75"/>
      <c r="AT102" s="75"/>
      <c r="AU102" s="75"/>
      <c r="AV102" s="75"/>
      <c r="AW102" s="75"/>
      <c r="AX102" s="75"/>
      <c r="AY102" s="75"/>
      <c r="AZ102" s="75"/>
      <c r="BA102" s="75"/>
      <c r="BB102" s="75"/>
      <c r="BC102" s="75"/>
      <c r="BD102" s="75"/>
      <c r="BE102" s="75"/>
      <c r="BF102" s="75"/>
      <c r="BG102" s="75"/>
      <c r="BH102" s="75"/>
      <c r="BI102" s="75"/>
      <c r="BJ102" s="75"/>
      <c r="BK102" s="75"/>
      <c r="BL102" s="75"/>
      <c r="BM102" s="75"/>
      <c r="BN102" s="75"/>
      <c r="BO102" s="75"/>
      <c r="BP102" s="75"/>
      <c r="BQ102" s="75"/>
      <c r="BR102" s="75"/>
      <c r="BS102" s="75"/>
      <c r="BT102" s="75"/>
      <c r="BU102" s="75"/>
      <c r="BV102" s="75"/>
      <c r="BW102" s="75"/>
      <c r="BX102" s="75"/>
      <c r="BY102" s="75"/>
      <c r="BZ102" s="75"/>
      <c r="CA102" s="75"/>
      <c r="CB102" s="75"/>
      <c r="CC102" s="75"/>
      <c r="CD102" s="75"/>
    </row>
    <row r="103" spans="1:82" s="118" customFormat="1" hidden="1">
      <c r="A103" s="169" t="s">
        <v>169</v>
      </c>
      <c r="B103" s="146" t="s">
        <v>184</v>
      </c>
      <c r="C103" s="185">
        <f>ROUND(прил.4!F14/12,2)</f>
        <v>0</v>
      </c>
      <c r="D103" s="185"/>
      <c r="E103" s="185"/>
      <c r="F103" s="179"/>
      <c r="G103" s="179">
        <f>прил.4!F14</f>
        <v>0</v>
      </c>
      <c r="H103" s="179">
        <f t="shared" si="31"/>
        <v>0</v>
      </c>
      <c r="I103" s="179">
        <f t="shared" si="31"/>
        <v>0</v>
      </c>
      <c r="J103" s="179">
        <f t="shared" si="31"/>
        <v>0</v>
      </c>
      <c r="K103" s="179">
        <f t="shared" si="31"/>
        <v>0</v>
      </c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75"/>
      <c r="BD103" s="75"/>
      <c r="BE103" s="75"/>
      <c r="BF103" s="75"/>
      <c r="BG103" s="75"/>
      <c r="BH103" s="75"/>
      <c r="BI103" s="75"/>
      <c r="BJ103" s="75"/>
      <c r="BK103" s="75"/>
      <c r="BL103" s="75"/>
      <c r="BM103" s="75"/>
      <c r="BN103" s="75"/>
      <c r="BO103" s="75"/>
      <c r="BP103" s="75"/>
      <c r="BQ103" s="75"/>
      <c r="BR103" s="75"/>
      <c r="BS103" s="75"/>
      <c r="BT103" s="75"/>
      <c r="BU103" s="75"/>
      <c r="BV103" s="75"/>
      <c r="BW103" s="75"/>
      <c r="BX103" s="75"/>
      <c r="BY103" s="75"/>
      <c r="BZ103" s="75"/>
      <c r="CA103" s="75"/>
      <c r="CB103" s="75"/>
      <c r="CC103" s="75"/>
      <c r="CD103" s="75"/>
    </row>
    <row r="104" spans="1:82" s="118" customFormat="1" hidden="1">
      <c r="A104" s="169"/>
      <c r="B104" s="146" t="s">
        <v>184</v>
      </c>
      <c r="C104" s="185"/>
      <c r="D104" s="185"/>
      <c r="E104" s="185"/>
      <c r="F104" s="179"/>
      <c r="G104" s="179"/>
      <c r="H104" s="179">
        <f t="shared" si="31"/>
        <v>0</v>
      </c>
      <c r="I104" s="179">
        <f t="shared" si="31"/>
        <v>0</v>
      </c>
      <c r="J104" s="179">
        <f t="shared" si="31"/>
        <v>0</v>
      </c>
      <c r="K104" s="179">
        <f t="shared" si="31"/>
        <v>0</v>
      </c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  <c r="AK104" s="75"/>
      <c r="AL104" s="75"/>
      <c r="AM104" s="75"/>
      <c r="AN104" s="75"/>
      <c r="AO104" s="75"/>
      <c r="AP104" s="75"/>
      <c r="AQ104" s="75"/>
      <c r="AR104" s="75"/>
      <c r="AS104" s="75"/>
      <c r="AT104" s="75"/>
      <c r="AU104" s="75"/>
      <c r="AV104" s="75"/>
      <c r="AW104" s="75"/>
      <c r="AX104" s="75"/>
      <c r="AY104" s="75"/>
      <c r="AZ104" s="75"/>
      <c r="BA104" s="75"/>
      <c r="BB104" s="75"/>
      <c r="BC104" s="75"/>
      <c r="BD104" s="75"/>
      <c r="BE104" s="75"/>
      <c r="BF104" s="75"/>
      <c r="BG104" s="75"/>
      <c r="BH104" s="75"/>
      <c r="BI104" s="75"/>
      <c r="BJ104" s="75"/>
      <c r="BK104" s="75"/>
      <c r="BL104" s="75"/>
      <c r="BM104" s="75"/>
      <c r="BN104" s="75"/>
      <c r="BO104" s="75"/>
      <c r="BP104" s="75"/>
      <c r="BQ104" s="75"/>
      <c r="BR104" s="75"/>
      <c r="BS104" s="75"/>
      <c r="BT104" s="75"/>
      <c r="BU104" s="75"/>
      <c r="BV104" s="75"/>
      <c r="BW104" s="75"/>
      <c r="BX104" s="75"/>
      <c r="BY104" s="75"/>
      <c r="BZ104" s="75"/>
      <c r="CA104" s="75"/>
      <c r="CB104" s="75"/>
      <c r="CC104" s="75"/>
      <c r="CD104" s="75"/>
    </row>
    <row r="105" spans="1:82" s="118" customFormat="1" hidden="1">
      <c r="A105" s="166" t="s">
        <v>201</v>
      </c>
      <c r="B105" s="166"/>
      <c r="C105" s="181">
        <f>C101+C102+C103+C104</f>
        <v>0</v>
      </c>
      <c r="D105" s="181">
        <f>D101+D102+D103+D104</f>
        <v>0</v>
      </c>
      <c r="E105" s="181">
        <f t="shared" ref="E105:K105" si="32">E101+E102+E103+E104</f>
        <v>0</v>
      </c>
      <c r="F105" s="181">
        <f t="shared" si="32"/>
        <v>0</v>
      </c>
      <c r="G105" s="181">
        <f t="shared" si="32"/>
        <v>0</v>
      </c>
      <c r="H105" s="181">
        <f t="shared" si="32"/>
        <v>0</v>
      </c>
      <c r="I105" s="181">
        <f t="shared" si="32"/>
        <v>0</v>
      </c>
      <c r="J105" s="181">
        <f t="shared" si="32"/>
        <v>0</v>
      </c>
      <c r="K105" s="181">
        <f t="shared" si="32"/>
        <v>0</v>
      </c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  <c r="AJ105" s="75"/>
      <c r="AK105" s="75"/>
      <c r="AL105" s="75"/>
      <c r="AM105" s="75"/>
      <c r="AN105" s="75"/>
      <c r="AO105" s="75"/>
      <c r="AP105" s="75"/>
      <c r="AQ105" s="75"/>
      <c r="AR105" s="75"/>
      <c r="AS105" s="75"/>
      <c r="AT105" s="75"/>
      <c r="AU105" s="75"/>
      <c r="AV105" s="75"/>
      <c r="AW105" s="75"/>
      <c r="AX105" s="75"/>
      <c r="AY105" s="75"/>
      <c r="AZ105" s="75"/>
      <c r="BA105" s="75"/>
      <c r="BB105" s="75"/>
      <c r="BC105" s="75"/>
      <c r="BD105" s="75"/>
      <c r="BE105" s="75"/>
      <c r="BF105" s="75"/>
      <c r="BG105" s="75"/>
      <c r="BH105" s="75"/>
      <c r="BI105" s="75"/>
      <c r="BJ105" s="75"/>
      <c r="BK105" s="75"/>
      <c r="BL105" s="75"/>
      <c r="BM105" s="75"/>
      <c r="BN105" s="75"/>
      <c r="BO105" s="75"/>
      <c r="BP105" s="75"/>
      <c r="BQ105" s="75"/>
      <c r="BR105" s="75"/>
      <c r="BS105" s="75"/>
      <c r="BT105" s="75"/>
      <c r="BU105" s="75"/>
      <c r="BV105" s="75"/>
      <c r="BW105" s="75"/>
      <c r="BX105" s="75"/>
      <c r="BY105" s="75"/>
      <c r="BZ105" s="75"/>
      <c r="CA105" s="75"/>
      <c r="CB105" s="75"/>
      <c r="CC105" s="75"/>
      <c r="CD105" s="75"/>
    </row>
    <row r="106" spans="1:82" s="118" customFormat="1" ht="36.75" hidden="1" customHeight="1">
      <c r="A106" s="538" t="s">
        <v>204</v>
      </c>
      <c r="B106" s="538"/>
      <c r="C106" s="538"/>
      <c r="D106" s="538"/>
      <c r="E106" s="538"/>
      <c r="F106" s="538"/>
      <c r="G106" s="538"/>
      <c r="H106" s="538"/>
      <c r="I106" s="538"/>
      <c r="J106" s="538"/>
      <c r="K106" s="538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L106" s="75"/>
      <c r="AM106" s="75"/>
      <c r="AN106" s="75"/>
      <c r="AO106" s="75"/>
      <c r="AP106" s="75"/>
      <c r="AQ106" s="75"/>
      <c r="AR106" s="75"/>
      <c r="AS106" s="75"/>
      <c r="AT106" s="75"/>
      <c r="AU106" s="75"/>
      <c r="AV106" s="75"/>
      <c r="AW106" s="75"/>
      <c r="AX106" s="75"/>
      <c r="AY106" s="75"/>
      <c r="AZ106" s="75"/>
      <c r="BA106" s="75"/>
      <c r="BB106" s="75"/>
      <c r="BC106" s="75"/>
      <c r="BD106" s="75"/>
      <c r="BE106" s="75"/>
      <c r="BF106" s="75"/>
      <c r="BG106" s="75"/>
      <c r="BH106" s="75"/>
      <c r="BI106" s="75"/>
      <c r="BJ106" s="75"/>
      <c r="BK106" s="75"/>
      <c r="BL106" s="75"/>
      <c r="BM106" s="75"/>
      <c r="BN106" s="75"/>
      <c r="BO106" s="75"/>
      <c r="BP106" s="75"/>
      <c r="BQ106" s="75"/>
      <c r="BR106" s="75"/>
      <c r="BS106" s="75"/>
      <c r="BT106" s="75"/>
      <c r="BU106" s="75"/>
      <c r="BV106" s="75"/>
      <c r="BW106" s="75"/>
      <c r="BX106" s="75"/>
      <c r="BY106" s="75"/>
      <c r="BZ106" s="75"/>
      <c r="CA106" s="75"/>
      <c r="CB106" s="75"/>
      <c r="CC106" s="75"/>
      <c r="CD106" s="75"/>
    </row>
    <row r="107" spans="1:82" s="118" customFormat="1" hidden="1">
      <c r="A107" s="169" t="s">
        <v>174</v>
      </c>
      <c r="B107" s="146" t="s">
        <v>184</v>
      </c>
      <c r="C107" s="185">
        <f>прил.4!F22</f>
        <v>0</v>
      </c>
      <c r="D107" s="185"/>
      <c r="E107" s="178"/>
      <c r="F107" s="179"/>
      <c r="G107" s="179">
        <f>прил.4!F22</f>
        <v>0</v>
      </c>
      <c r="H107" s="179">
        <f>IF(H$5&lt;=0,0,IF($G107=0,0,ROUND($G107/($H$5+$I$5+$J$5+$K$5),2)))</f>
        <v>0</v>
      </c>
      <c r="I107" s="179">
        <f>IF(I$5&lt;=0,0,IF($G107=0,0,ROUND($G107/($H$5+$I$5+$J$5+$K$5),2)))</f>
        <v>0</v>
      </c>
      <c r="J107" s="179">
        <f>IF(J$5&lt;=0,0,IF($G107=0,0,ROUND($G107/($H$5+$I$5+$J$5+$K$5),2)))</f>
        <v>0</v>
      </c>
      <c r="K107" s="179">
        <f>IF(K$5&lt;=0,0,IF($G107=0,0,ROUND($G107/($H$5+$I$5+$J$5+$K$5),2)))</f>
        <v>0</v>
      </c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  <c r="AK107" s="75"/>
      <c r="AL107" s="75"/>
      <c r="AM107" s="75"/>
      <c r="AN107" s="75"/>
      <c r="AO107" s="75"/>
      <c r="AP107" s="75"/>
      <c r="AQ107" s="75"/>
      <c r="AR107" s="75"/>
      <c r="AS107" s="75"/>
      <c r="AT107" s="75"/>
      <c r="AU107" s="75"/>
      <c r="AV107" s="75"/>
      <c r="AW107" s="75"/>
      <c r="AX107" s="75"/>
      <c r="AY107" s="75"/>
      <c r="AZ107" s="75"/>
      <c r="BA107" s="75"/>
      <c r="BB107" s="75"/>
      <c r="BC107" s="75"/>
      <c r="BD107" s="75"/>
      <c r="BE107" s="75"/>
      <c r="BF107" s="75"/>
      <c r="BG107" s="75"/>
      <c r="BH107" s="75"/>
      <c r="BI107" s="75"/>
      <c r="BJ107" s="75"/>
      <c r="BK107" s="75"/>
      <c r="BL107" s="75"/>
      <c r="BM107" s="75"/>
      <c r="BN107" s="75"/>
      <c r="BO107" s="75"/>
      <c r="BP107" s="75"/>
      <c r="BQ107" s="75"/>
      <c r="BR107" s="75"/>
      <c r="BS107" s="75"/>
      <c r="BT107" s="75"/>
      <c r="BU107" s="75"/>
      <c r="BV107" s="75"/>
      <c r="BW107" s="75"/>
      <c r="BX107" s="75"/>
      <c r="BY107" s="75"/>
      <c r="BZ107" s="75"/>
      <c r="CA107" s="75"/>
      <c r="CB107" s="75"/>
      <c r="CC107" s="75"/>
      <c r="CD107" s="75"/>
    </row>
    <row r="108" spans="1:82" s="118" customFormat="1" hidden="1">
      <c r="A108" s="166" t="s">
        <v>201</v>
      </c>
      <c r="B108" s="166"/>
      <c r="C108" s="181">
        <f>C107</f>
        <v>0</v>
      </c>
      <c r="D108" s="181">
        <f>D107</f>
        <v>0</v>
      </c>
      <c r="E108" s="181">
        <f t="shared" ref="E108:K108" si="33">E107</f>
        <v>0</v>
      </c>
      <c r="F108" s="181">
        <f t="shared" si="33"/>
        <v>0</v>
      </c>
      <c r="G108" s="181">
        <f t="shared" si="33"/>
        <v>0</v>
      </c>
      <c r="H108" s="181">
        <f t="shared" si="33"/>
        <v>0</v>
      </c>
      <c r="I108" s="181">
        <f t="shared" si="33"/>
        <v>0</v>
      </c>
      <c r="J108" s="181">
        <f t="shared" si="33"/>
        <v>0</v>
      </c>
      <c r="K108" s="181">
        <f t="shared" si="33"/>
        <v>0</v>
      </c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  <c r="AK108" s="75"/>
      <c r="AL108" s="75"/>
      <c r="AM108" s="75"/>
      <c r="AN108" s="75"/>
      <c r="AO108" s="75"/>
      <c r="AP108" s="75"/>
      <c r="AQ108" s="75"/>
      <c r="AR108" s="75"/>
      <c r="AS108" s="75"/>
      <c r="AT108" s="75"/>
      <c r="AU108" s="75"/>
      <c r="AV108" s="75"/>
      <c r="AW108" s="75"/>
      <c r="AX108" s="75"/>
      <c r="AY108" s="75"/>
      <c r="AZ108" s="75"/>
      <c r="BA108" s="75"/>
      <c r="BB108" s="75"/>
      <c r="BC108" s="75"/>
      <c r="BD108" s="75"/>
      <c r="BE108" s="75"/>
      <c r="BF108" s="75"/>
      <c r="BG108" s="75"/>
      <c r="BH108" s="75"/>
      <c r="BI108" s="75"/>
      <c r="BJ108" s="75"/>
      <c r="BK108" s="75"/>
      <c r="BL108" s="75"/>
      <c r="BM108" s="75"/>
      <c r="BN108" s="75"/>
      <c r="BO108" s="75"/>
      <c r="BP108" s="75"/>
      <c r="BQ108" s="75"/>
      <c r="BR108" s="75"/>
      <c r="BS108" s="75"/>
      <c r="BT108" s="75"/>
      <c r="BU108" s="75"/>
      <c r="BV108" s="75"/>
      <c r="BW108" s="75"/>
      <c r="BX108" s="75"/>
      <c r="BY108" s="75"/>
      <c r="BZ108" s="75"/>
      <c r="CA108" s="75"/>
      <c r="CB108" s="75"/>
      <c r="CC108" s="75"/>
      <c r="CD108" s="75"/>
    </row>
    <row r="109" spans="1:82" s="118" customFormat="1" ht="25.5" hidden="1" customHeight="1">
      <c r="A109" s="540" t="s">
        <v>205</v>
      </c>
      <c r="B109" s="540"/>
      <c r="C109" s="540"/>
      <c r="D109" s="540"/>
      <c r="E109" s="540"/>
      <c r="F109" s="540"/>
      <c r="G109" s="540"/>
      <c r="H109" s="540"/>
      <c r="I109" s="540"/>
      <c r="J109" s="540"/>
      <c r="K109" s="540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75"/>
      <c r="AK109" s="75"/>
      <c r="AL109" s="75"/>
      <c r="AM109" s="75"/>
      <c r="AN109" s="75"/>
      <c r="AO109" s="75"/>
      <c r="AP109" s="75"/>
      <c r="AQ109" s="75"/>
      <c r="AR109" s="75"/>
      <c r="AS109" s="75"/>
      <c r="AT109" s="75"/>
      <c r="AU109" s="75"/>
      <c r="AV109" s="75"/>
      <c r="AW109" s="75"/>
      <c r="AX109" s="75"/>
      <c r="AY109" s="75"/>
      <c r="AZ109" s="75"/>
      <c r="BA109" s="75"/>
      <c r="BB109" s="75"/>
      <c r="BC109" s="75"/>
      <c r="BD109" s="75"/>
      <c r="BE109" s="75"/>
      <c r="BF109" s="75"/>
      <c r="BG109" s="75"/>
      <c r="BH109" s="75"/>
      <c r="BI109" s="75"/>
      <c r="BJ109" s="75"/>
      <c r="BK109" s="75"/>
      <c r="BL109" s="75"/>
      <c r="BM109" s="75"/>
      <c r="BN109" s="75"/>
      <c r="BO109" s="75"/>
      <c r="BP109" s="75"/>
      <c r="BQ109" s="75"/>
      <c r="BR109" s="75"/>
      <c r="BS109" s="75"/>
      <c r="BT109" s="75"/>
      <c r="BU109" s="75"/>
      <c r="BV109" s="75"/>
      <c r="BW109" s="75"/>
      <c r="BX109" s="75"/>
      <c r="BY109" s="75"/>
      <c r="BZ109" s="75"/>
      <c r="CA109" s="75"/>
      <c r="CB109" s="75"/>
      <c r="CC109" s="75"/>
      <c r="CD109" s="75"/>
    </row>
    <row r="110" spans="1:82" s="119" customFormat="1" hidden="1">
      <c r="A110" s="169"/>
      <c r="B110" s="146" t="s">
        <v>184</v>
      </c>
      <c r="C110" s="185">
        <f>прил.4!F29</f>
        <v>0</v>
      </c>
      <c r="D110" s="185"/>
      <c r="E110" s="178"/>
      <c r="F110" s="179"/>
      <c r="G110" s="179"/>
      <c r="H110" s="179">
        <f t="shared" ref="H110:K111" si="34">IF(H$5&lt;=0,0,IF($G110=0,0,ROUND($G110/($H$5+$I$5+$J$5+$K$5),2)))</f>
        <v>0</v>
      </c>
      <c r="I110" s="179">
        <f t="shared" si="34"/>
        <v>0</v>
      </c>
      <c r="J110" s="179">
        <f t="shared" si="34"/>
        <v>0</v>
      </c>
      <c r="K110" s="179">
        <f t="shared" si="34"/>
        <v>0</v>
      </c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5"/>
      <c r="AK110" s="75"/>
      <c r="AL110" s="75"/>
      <c r="AM110" s="75"/>
      <c r="AN110" s="75"/>
      <c r="AO110" s="75"/>
      <c r="AP110" s="75"/>
      <c r="AQ110" s="75"/>
      <c r="AR110" s="75"/>
      <c r="AS110" s="75"/>
      <c r="AT110" s="75"/>
      <c r="AU110" s="75"/>
      <c r="AV110" s="75"/>
      <c r="AW110" s="75"/>
      <c r="AX110" s="75"/>
      <c r="AY110" s="75"/>
      <c r="AZ110" s="75"/>
      <c r="BA110" s="75"/>
      <c r="BB110" s="75"/>
      <c r="BC110" s="75"/>
      <c r="BD110" s="75"/>
      <c r="BE110" s="75"/>
      <c r="BF110" s="75"/>
      <c r="BG110" s="75"/>
      <c r="BH110" s="75"/>
      <c r="BI110" s="75"/>
      <c r="BJ110" s="75"/>
      <c r="BK110" s="75"/>
      <c r="BL110" s="75"/>
      <c r="BM110" s="75"/>
      <c r="BN110" s="75"/>
      <c r="BO110" s="75"/>
      <c r="BP110" s="75"/>
      <c r="BQ110" s="75"/>
      <c r="BR110" s="75"/>
      <c r="BS110" s="75"/>
      <c r="BT110" s="75"/>
      <c r="BU110" s="75"/>
      <c r="BV110" s="75"/>
      <c r="BW110" s="75"/>
      <c r="BX110" s="75"/>
      <c r="BY110" s="75"/>
      <c r="BZ110" s="75"/>
      <c r="CA110" s="75"/>
      <c r="CB110" s="75"/>
      <c r="CC110" s="75"/>
      <c r="CD110" s="75"/>
    </row>
    <row r="111" spans="1:82" hidden="1">
      <c r="A111" s="169"/>
      <c r="B111" s="146" t="s">
        <v>184</v>
      </c>
      <c r="C111" s="185">
        <f>прил.4!F30</f>
        <v>0</v>
      </c>
      <c r="D111" s="185"/>
      <c r="E111" s="178"/>
      <c r="F111" s="179"/>
      <c r="G111" s="179"/>
      <c r="H111" s="179">
        <f t="shared" si="34"/>
        <v>0</v>
      </c>
      <c r="I111" s="179">
        <f t="shared" si="34"/>
        <v>0</v>
      </c>
      <c r="J111" s="179">
        <f t="shared" si="34"/>
        <v>0</v>
      </c>
      <c r="K111" s="179">
        <f t="shared" si="34"/>
        <v>0</v>
      </c>
    </row>
    <row r="112" spans="1:82" hidden="1">
      <c r="A112" s="166" t="s">
        <v>201</v>
      </c>
      <c r="B112" s="166"/>
      <c r="C112" s="181">
        <f>C110+C111</f>
        <v>0</v>
      </c>
      <c r="D112" s="181">
        <f>D110+D111</f>
        <v>0</v>
      </c>
      <c r="E112" s="181">
        <f t="shared" ref="E112:K112" si="35">E110+E111</f>
        <v>0</v>
      </c>
      <c r="F112" s="181">
        <f t="shared" si="35"/>
        <v>0</v>
      </c>
      <c r="G112" s="181">
        <f t="shared" si="35"/>
        <v>0</v>
      </c>
      <c r="H112" s="181">
        <f t="shared" si="35"/>
        <v>0</v>
      </c>
      <c r="I112" s="181">
        <f t="shared" si="35"/>
        <v>0</v>
      </c>
      <c r="J112" s="181">
        <f t="shared" si="35"/>
        <v>0</v>
      </c>
      <c r="K112" s="181">
        <f t="shared" si="35"/>
        <v>0</v>
      </c>
    </row>
    <row r="113" spans="1:82" ht="26.25" customHeight="1">
      <c r="A113" s="548" t="s">
        <v>206</v>
      </c>
      <c r="B113" s="534"/>
      <c r="C113" s="534"/>
      <c r="D113" s="534"/>
      <c r="E113" s="534"/>
      <c r="F113" s="534"/>
      <c r="G113" s="534"/>
      <c r="H113" s="534"/>
      <c r="I113" s="534"/>
      <c r="J113" s="534"/>
      <c r="K113" s="534"/>
    </row>
    <row r="114" spans="1:82">
      <c r="A114" s="165" t="s">
        <v>207</v>
      </c>
      <c r="B114" s="146" t="s">
        <v>184</v>
      </c>
      <c r="C114" s="178">
        <f>прил.5!I6+прил.5!I7+прил.5!I8</f>
        <v>80180.83</v>
      </c>
      <c r="D114" s="178"/>
      <c r="E114" s="178"/>
      <c r="F114" s="179"/>
      <c r="G114" s="179">
        <f>прил.5!I6+прил.5!I7+прил.5!I8</f>
        <v>80180.83</v>
      </c>
      <c r="H114" s="179">
        <f t="shared" ref="H114:K119" si="36">IF(H$5&lt;=0,0,IF($G114=0,0,ROUND($G114/($H$5+$I$5+$J$5+$K$5),2)))</f>
        <v>127.27</v>
      </c>
      <c r="I114" s="179">
        <f t="shared" si="36"/>
        <v>127.27</v>
      </c>
      <c r="J114" s="179">
        <f t="shared" si="36"/>
        <v>127.27</v>
      </c>
      <c r="K114" s="179">
        <f t="shared" si="36"/>
        <v>127.27</v>
      </c>
    </row>
    <row r="115" spans="1:82">
      <c r="A115" s="165" t="s">
        <v>208</v>
      </c>
      <c r="B115" s="146" t="s">
        <v>184</v>
      </c>
      <c r="C115" s="178">
        <f>прил.5!I9+прил.5!I10+прил.5!I11</f>
        <v>76961.919999999998</v>
      </c>
      <c r="D115" s="178"/>
      <c r="E115" s="178"/>
      <c r="F115" s="179"/>
      <c r="G115" s="179">
        <f>прил.5!I9+прил.5!I10+прил.5!I11</f>
        <v>76961.919999999998</v>
      </c>
      <c r="H115" s="179">
        <f t="shared" si="36"/>
        <v>122.16</v>
      </c>
      <c r="I115" s="179">
        <f t="shared" si="36"/>
        <v>122.16</v>
      </c>
      <c r="J115" s="179">
        <f t="shared" si="36"/>
        <v>122.16</v>
      </c>
      <c r="K115" s="179">
        <f t="shared" si="36"/>
        <v>122.16</v>
      </c>
    </row>
    <row r="116" spans="1:82">
      <c r="A116" s="165" t="s">
        <v>224</v>
      </c>
      <c r="B116" s="146" t="s">
        <v>184</v>
      </c>
      <c r="C116" s="178">
        <f>прил.5!I14+прил.5!I15+прил.5!I17+прил.5!I18+прил.5!I12+прил.5!I13+прил.5!I16</f>
        <v>456543.4</v>
      </c>
      <c r="D116" s="178"/>
      <c r="E116" s="178"/>
      <c r="F116" s="179"/>
      <c r="G116" s="179">
        <f>прил.5!I12+прил.5!I13+прил.5!I14+прил.5!I15+прил.5!I16+прил.5!I17+прил.5!I18</f>
        <v>456543.39999999997</v>
      </c>
      <c r="H116" s="179">
        <f t="shared" si="36"/>
        <v>724.67</v>
      </c>
      <c r="I116" s="179">
        <f t="shared" si="36"/>
        <v>724.67</v>
      </c>
      <c r="J116" s="179">
        <f t="shared" si="36"/>
        <v>724.67</v>
      </c>
      <c r="K116" s="179">
        <f t="shared" si="36"/>
        <v>724.67</v>
      </c>
    </row>
    <row r="117" spans="1:82">
      <c r="A117" s="141" t="s">
        <v>209</v>
      </c>
      <c r="B117" s="146" t="s">
        <v>184</v>
      </c>
      <c r="C117" s="178">
        <f>прил.5!I19+прил.5!I20+прил.5!I21+прил.5!I22</f>
        <v>1269519.5</v>
      </c>
      <c r="D117" s="178"/>
      <c r="E117" s="178"/>
      <c r="F117" s="179"/>
      <c r="G117" s="179">
        <f>прил.5!I19+прил.5!I20+прил.5!I21+прил.5!I22</f>
        <v>1269519.5</v>
      </c>
      <c r="H117" s="179">
        <f t="shared" si="36"/>
        <v>2015.11</v>
      </c>
      <c r="I117" s="179">
        <f t="shared" si="36"/>
        <v>2015.11</v>
      </c>
      <c r="J117" s="179">
        <f t="shared" si="36"/>
        <v>2015.11</v>
      </c>
      <c r="K117" s="179">
        <f t="shared" si="36"/>
        <v>2015.11</v>
      </c>
    </row>
    <row r="118" spans="1:82">
      <c r="A118" s="141" t="s">
        <v>210</v>
      </c>
      <c r="B118" s="146" t="s">
        <v>184</v>
      </c>
      <c r="C118" s="178">
        <f>прил.5!I23+прил.5!I24+прил.5!I25</f>
        <v>249319.75</v>
      </c>
      <c r="D118" s="178"/>
      <c r="E118" s="178"/>
      <c r="F118" s="179"/>
      <c r="G118" s="179">
        <f>прил.5!I23+прил.5!I24+прил.5!I25</f>
        <v>249319.75</v>
      </c>
      <c r="H118" s="179">
        <f t="shared" si="36"/>
        <v>395.75</v>
      </c>
      <c r="I118" s="179">
        <f t="shared" si="36"/>
        <v>395.75</v>
      </c>
      <c r="J118" s="179">
        <f t="shared" si="36"/>
        <v>395.75</v>
      </c>
      <c r="K118" s="179">
        <f t="shared" si="36"/>
        <v>395.75</v>
      </c>
    </row>
    <row r="119" spans="1:82" ht="25.5">
      <c r="A119" s="165" t="str">
        <f>[1]прил.5!B31</f>
        <v>вывоз жидких бытовых отходов и объемов жидких бытовых отходов</v>
      </c>
      <c r="B119" s="146" t="s">
        <v>184</v>
      </c>
      <c r="C119" s="178"/>
      <c r="D119" s="178"/>
      <c r="E119" s="178"/>
      <c r="F119" s="179"/>
      <c r="G119" s="179"/>
      <c r="H119" s="179">
        <f t="shared" si="36"/>
        <v>0</v>
      </c>
      <c r="I119" s="179">
        <f t="shared" si="36"/>
        <v>0</v>
      </c>
      <c r="J119" s="179">
        <f t="shared" si="36"/>
        <v>0</v>
      </c>
      <c r="K119" s="179">
        <f t="shared" si="36"/>
        <v>0</v>
      </c>
    </row>
    <row r="120" spans="1:82" s="120" customFormat="1">
      <c r="A120" s="170" t="s">
        <v>201</v>
      </c>
      <c r="B120" s="171"/>
      <c r="C120" s="186">
        <f>SUM(C114:C119)</f>
        <v>2132525.4</v>
      </c>
      <c r="D120" s="186">
        <f>SUM(D114:D119)</f>
        <v>0</v>
      </c>
      <c r="E120" s="186">
        <f t="shared" ref="E120:K120" si="37">SUM(E114:E119)</f>
        <v>0</v>
      </c>
      <c r="F120" s="186">
        <f t="shared" si="37"/>
        <v>0</v>
      </c>
      <c r="G120" s="186">
        <f t="shared" si="37"/>
        <v>2132525.4</v>
      </c>
      <c r="H120" s="186">
        <f t="shared" si="37"/>
        <v>3384.96</v>
      </c>
      <c r="I120" s="186">
        <f t="shared" si="37"/>
        <v>3384.96</v>
      </c>
      <c r="J120" s="186">
        <f t="shared" si="37"/>
        <v>3384.96</v>
      </c>
      <c r="K120" s="186">
        <f t="shared" si="37"/>
        <v>3384.96</v>
      </c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  <c r="AJ120" s="75"/>
      <c r="AK120" s="75"/>
      <c r="AL120" s="75"/>
      <c r="AM120" s="75"/>
      <c r="AN120" s="75"/>
      <c r="AO120" s="75"/>
      <c r="AP120" s="75"/>
      <c r="AQ120" s="75"/>
      <c r="AR120" s="75"/>
      <c r="AS120" s="75"/>
      <c r="AT120" s="75"/>
      <c r="AU120" s="75"/>
      <c r="AV120" s="75"/>
      <c r="AW120" s="75"/>
      <c r="AX120" s="75"/>
      <c r="AY120" s="75"/>
      <c r="AZ120" s="75"/>
      <c r="BA120" s="75"/>
      <c r="BB120" s="75"/>
      <c r="BC120" s="75"/>
      <c r="BD120" s="75"/>
      <c r="BE120" s="75"/>
      <c r="BF120" s="75"/>
      <c r="BG120" s="75"/>
      <c r="BH120" s="75"/>
      <c r="BI120" s="75"/>
      <c r="BJ120" s="75"/>
      <c r="BK120" s="75"/>
      <c r="BL120" s="75"/>
      <c r="BM120" s="75"/>
      <c r="BN120" s="75"/>
      <c r="BO120" s="75"/>
      <c r="BP120" s="75"/>
      <c r="BQ120" s="75"/>
      <c r="BR120" s="75"/>
      <c r="BS120" s="75"/>
      <c r="BT120" s="75"/>
      <c r="BU120" s="75"/>
      <c r="BV120" s="75"/>
      <c r="BW120" s="75"/>
      <c r="BX120" s="75"/>
      <c r="BY120" s="75"/>
      <c r="BZ120" s="75"/>
      <c r="CA120" s="75"/>
      <c r="CB120" s="75"/>
      <c r="CC120" s="75"/>
      <c r="CD120" s="75"/>
    </row>
    <row r="121" spans="1:82" ht="25.5">
      <c r="A121" s="172" t="s">
        <v>211</v>
      </c>
      <c r="B121" s="172"/>
      <c r="C121" s="180">
        <f t="shared" ref="C121:K121" si="38">C32+C73+C79+C95+C99+C105+C108+C112+C120</f>
        <v>20454149.189999998</v>
      </c>
      <c r="D121" s="180">
        <f t="shared" si="38"/>
        <v>12576366.189999999</v>
      </c>
      <c r="E121" s="180">
        <f t="shared" si="38"/>
        <v>19962.48</v>
      </c>
      <c r="F121" s="180">
        <f t="shared" si="38"/>
        <v>19962.48</v>
      </c>
      <c r="G121" s="180">
        <f t="shared" si="38"/>
        <v>7877783</v>
      </c>
      <c r="H121" s="180">
        <f t="shared" si="38"/>
        <v>12504.419999999998</v>
      </c>
      <c r="I121" s="180">
        <f t="shared" si="38"/>
        <v>12504.419999999998</v>
      </c>
      <c r="J121" s="180">
        <f t="shared" si="38"/>
        <v>12504.419999999998</v>
      </c>
      <c r="K121" s="180">
        <f t="shared" si="38"/>
        <v>12504.419999999998</v>
      </c>
    </row>
    <row r="122" spans="1:82" ht="27.75" customHeight="1">
      <c r="A122" s="541" t="s">
        <v>212</v>
      </c>
      <c r="B122" s="542"/>
      <c r="C122" s="542"/>
      <c r="D122" s="542"/>
      <c r="E122" s="542"/>
      <c r="F122" s="542"/>
      <c r="G122" s="542"/>
      <c r="H122" s="542"/>
      <c r="I122" s="542"/>
      <c r="J122" s="542"/>
      <c r="K122" s="542"/>
    </row>
    <row r="123" spans="1:82">
      <c r="A123" s="150" t="s">
        <v>213</v>
      </c>
      <c r="B123" s="146" t="s">
        <v>184</v>
      </c>
      <c r="C123" s="178">
        <f>прил.6!E6</f>
        <v>897063</v>
      </c>
      <c r="D123" s="178"/>
      <c r="E123" s="178"/>
      <c r="F123" s="179"/>
      <c r="G123" s="179">
        <f>прил.6!E6</f>
        <v>897063</v>
      </c>
      <c r="H123" s="179">
        <f t="shared" ref="H123:K130" si="39">IF(H$5&lt;=0,0,IF($G123=0,0,ROUND($G123/($H$5+$I$5+$J$5+$K$5),2)))</f>
        <v>1423.91</v>
      </c>
      <c r="I123" s="179">
        <f t="shared" si="39"/>
        <v>1423.91</v>
      </c>
      <c r="J123" s="179">
        <f t="shared" si="39"/>
        <v>1423.91</v>
      </c>
      <c r="K123" s="179">
        <f t="shared" si="39"/>
        <v>1423.91</v>
      </c>
    </row>
    <row r="124" spans="1:82">
      <c r="A124" s="150" t="s">
        <v>214</v>
      </c>
      <c r="B124" s="146" t="s">
        <v>184</v>
      </c>
      <c r="C124" s="178">
        <f>прил.6!E11+прил.6!E10+прил.6!E9+прил.6!E8</f>
        <v>250754</v>
      </c>
      <c r="D124" s="178"/>
      <c r="E124" s="178"/>
      <c r="F124" s="182"/>
      <c r="G124" s="182">
        <f>прил.6!E11+прил.6!E10+прил.6!E9+прил.6!E8</f>
        <v>250754</v>
      </c>
      <c r="H124" s="179">
        <f t="shared" si="39"/>
        <v>398.02</v>
      </c>
      <c r="I124" s="179">
        <f t="shared" si="39"/>
        <v>398.02</v>
      </c>
      <c r="J124" s="179">
        <f t="shared" si="39"/>
        <v>398.02</v>
      </c>
      <c r="K124" s="179">
        <f t="shared" si="39"/>
        <v>398.02</v>
      </c>
    </row>
    <row r="125" spans="1:82" hidden="1">
      <c r="A125" s="150" t="s">
        <v>215</v>
      </c>
      <c r="B125" s="146" t="s">
        <v>184</v>
      </c>
      <c r="C125" s="178">
        <f>прил.6!E13</f>
        <v>0</v>
      </c>
      <c r="D125" s="178"/>
      <c r="E125" s="178"/>
      <c r="F125" s="182"/>
      <c r="G125" s="182">
        <f>прил.6!E13</f>
        <v>0</v>
      </c>
      <c r="H125" s="179">
        <f t="shared" si="39"/>
        <v>0</v>
      </c>
      <c r="I125" s="179">
        <f t="shared" si="39"/>
        <v>0</v>
      </c>
      <c r="J125" s="179">
        <f t="shared" si="39"/>
        <v>0</v>
      </c>
      <c r="K125" s="179">
        <f t="shared" si="39"/>
        <v>0</v>
      </c>
    </row>
    <row r="126" spans="1:82" hidden="1">
      <c r="A126" s="150" t="s">
        <v>216</v>
      </c>
      <c r="B126" s="146" t="s">
        <v>184</v>
      </c>
      <c r="C126" s="178">
        <f>прил.6!E14</f>
        <v>0</v>
      </c>
      <c r="D126" s="178"/>
      <c r="E126" s="178"/>
      <c r="F126" s="182"/>
      <c r="G126" s="182">
        <f>прил.6!E14</f>
        <v>0</v>
      </c>
      <c r="H126" s="179">
        <f t="shared" si="39"/>
        <v>0</v>
      </c>
      <c r="I126" s="179">
        <f t="shared" si="39"/>
        <v>0</v>
      </c>
      <c r="J126" s="179">
        <f t="shared" si="39"/>
        <v>0</v>
      </c>
      <c r="K126" s="179">
        <f t="shared" si="39"/>
        <v>0</v>
      </c>
    </row>
    <row r="127" spans="1:82" hidden="1">
      <c r="A127" s="150" t="s">
        <v>217</v>
      </c>
      <c r="B127" s="146" t="s">
        <v>184</v>
      </c>
      <c r="C127" s="178">
        <f>прил.6!E15</f>
        <v>0</v>
      </c>
      <c r="D127" s="178"/>
      <c r="E127" s="178"/>
      <c r="F127" s="182"/>
      <c r="G127" s="182">
        <f>прил.6!E15</f>
        <v>0</v>
      </c>
      <c r="H127" s="179">
        <f t="shared" si="39"/>
        <v>0</v>
      </c>
      <c r="I127" s="179">
        <f t="shared" si="39"/>
        <v>0</v>
      </c>
      <c r="J127" s="179">
        <f t="shared" si="39"/>
        <v>0</v>
      </c>
      <c r="K127" s="179">
        <f t="shared" si="39"/>
        <v>0</v>
      </c>
    </row>
    <row r="128" spans="1:82">
      <c r="A128" s="141"/>
      <c r="B128" s="146" t="s">
        <v>184</v>
      </c>
      <c r="C128" s="178">
        <f>прил.6!G23+прил.6!G24+прил.6!G25</f>
        <v>0</v>
      </c>
      <c r="D128" s="178"/>
      <c r="E128" s="178"/>
      <c r="F128" s="179"/>
      <c r="G128" s="179">
        <f>прил.6!G23+прил.6!G24+прил.6!G25</f>
        <v>0</v>
      </c>
      <c r="H128" s="179">
        <f t="shared" si="39"/>
        <v>0</v>
      </c>
      <c r="I128" s="179">
        <f t="shared" si="39"/>
        <v>0</v>
      </c>
      <c r="J128" s="179">
        <f t="shared" si="39"/>
        <v>0</v>
      </c>
      <c r="K128" s="179">
        <f t="shared" si="39"/>
        <v>0</v>
      </c>
    </row>
    <row r="129" spans="1:11">
      <c r="A129" s="141"/>
      <c r="B129" s="146" t="s">
        <v>184</v>
      </c>
      <c r="C129" s="178">
        <f>прил.6!G26+прил.6!G27+прил.6!G30</f>
        <v>0</v>
      </c>
      <c r="D129" s="178"/>
      <c r="E129" s="178"/>
      <c r="F129" s="179"/>
      <c r="G129" s="179">
        <f>прил.6!G26+прил.6!G27+прил.6!G30</f>
        <v>0</v>
      </c>
      <c r="H129" s="179">
        <f t="shared" si="39"/>
        <v>0</v>
      </c>
      <c r="I129" s="179">
        <f t="shared" si="39"/>
        <v>0</v>
      </c>
      <c r="J129" s="179">
        <f t="shared" si="39"/>
        <v>0</v>
      </c>
      <c r="K129" s="179">
        <f t="shared" si="39"/>
        <v>0</v>
      </c>
    </row>
    <row r="130" spans="1:11" hidden="1">
      <c r="A130" s="150"/>
      <c r="B130" s="146"/>
      <c r="C130" s="178"/>
      <c r="D130" s="178"/>
      <c r="E130" s="178"/>
      <c r="F130" s="179"/>
      <c r="G130" s="179"/>
      <c r="H130" s="179">
        <f t="shared" si="39"/>
        <v>0</v>
      </c>
      <c r="I130" s="179">
        <f t="shared" si="39"/>
        <v>0</v>
      </c>
      <c r="J130" s="179">
        <f t="shared" si="39"/>
        <v>0</v>
      </c>
      <c r="K130" s="179">
        <f t="shared" si="39"/>
        <v>0</v>
      </c>
    </row>
    <row r="131" spans="1:11">
      <c r="A131" s="172" t="s">
        <v>201</v>
      </c>
      <c r="B131" s="173"/>
      <c r="C131" s="180">
        <f>SUM(C123:C129)</f>
        <v>1147817</v>
      </c>
      <c r="D131" s="180">
        <f>SUM(D123:D129)</f>
        <v>0</v>
      </c>
      <c r="E131" s="180">
        <f t="shared" ref="E131:K131" si="40">SUM(E123:E129)</f>
        <v>0</v>
      </c>
      <c r="F131" s="180">
        <f t="shared" si="40"/>
        <v>0</v>
      </c>
      <c r="G131" s="180">
        <f t="shared" si="40"/>
        <v>1147817</v>
      </c>
      <c r="H131" s="180">
        <f t="shared" si="40"/>
        <v>1821.93</v>
      </c>
      <c r="I131" s="180">
        <f t="shared" si="40"/>
        <v>1821.93</v>
      </c>
      <c r="J131" s="180">
        <f t="shared" si="40"/>
        <v>1821.93</v>
      </c>
      <c r="K131" s="180">
        <f t="shared" si="40"/>
        <v>1821.93</v>
      </c>
    </row>
    <row r="132" spans="1:11" ht="18.75">
      <c r="A132" s="175" t="s">
        <v>218</v>
      </c>
      <c r="B132" s="174"/>
      <c r="C132" s="187">
        <f t="shared" ref="C132:E132" si="41">C14+C121+C131</f>
        <v>40177899</v>
      </c>
      <c r="D132" s="187">
        <f t="shared" si="41"/>
        <v>31147499</v>
      </c>
      <c r="E132" s="187">
        <f t="shared" si="41"/>
        <v>49440.47</v>
      </c>
      <c r="F132" s="187">
        <f>F14+F121+F131</f>
        <v>49440.47</v>
      </c>
      <c r="G132" s="187">
        <f>G14+G121+G131</f>
        <v>9030400</v>
      </c>
      <c r="H132" s="187">
        <f>H14+H121+H131+0.8</f>
        <v>14334.769999999999</v>
      </c>
      <c r="I132" s="187">
        <f>I14+I121+I131+0.8</f>
        <v>14334.769999999999</v>
      </c>
      <c r="J132" s="187">
        <f>J14+J121+J131+0.8</f>
        <v>14334.769999999999</v>
      </c>
      <c r="K132" s="187">
        <f>K14+K121+K131+0.8</f>
        <v>14334.769999999999</v>
      </c>
    </row>
    <row r="133" spans="1:11" hidden="1">
      <c r="A133" s="151"/>
      <c r="B133" s="151"/>
      <c r="C133" s="152"/>
      <c r="D133" s="152"/>
      <c r="E133" s="151"/>
      <c r="F133" s="145"/>
      <c r="G133" s="145"/>
      <c r="H133" s="145"/>
      <c r="I133" s="145"/>
      <c r="J133" s="145"/>
      <c r="K133" s="145"/>
    </row>
    <row r="134" spans="1:11">
      <c r="A134" s="151"/>
      <c r="B134" s="151"/>
      <c r="C134" s="151"/>
      <c r="D134" s="151"/>
      <c r="E134" s="151"/>
      <c r="F134" s="145"/>
      <c r="G134" s="145"/>
      <c r="H134" s="145"/>
      <c r="I134" s="145"/>
      <c r="J134" s="145"/>
      <c r="K134" s="145"/>
    </row>
    <row r="135" spans="1:11">
      <c r="A135" s="153" t="s">
        <v>272</v>
      </c>
      <c r="B135" s="189"/>
      <c r="C135" s="151"/>
      <c r="D135" s="151"/>
      <c r="E135" s="155"/>
      <c r="F135" s="369" t="s">
        <v>382</v>
      </c>
      <c r="G135" s="145"/>
      <c r="H135" s="145"/>
      <c r="I135" s="145"/>
      <c r="J135" s="145"/>
      <c r="K135" s="145"/>
    </row>
    <row r="136" spans="1:11" hidden="1">
      <c r="A136" s="151"/>
      <c r="B136" s="189"/>
      <c r="C136" s="151"/>
      <c r="D136" s="151"/>
      <c r="E136" s="151"/>
      <c r="F136" s="73"/>
      <c r="G136" s="145"/>
      <c r="H136" s="145"/>
      <c r="I136" s="145"/>
      <c r="J136" s="145"/>
      <c r="K136" s="145"/>
    </row>
    <row r="137" spans="1:11">
      <c r="A137" s="151"/>
      <c r="B137" s="189"/>
      <c r="C137" s="151"/>
      <c r="D137" s="151"/>
      <c r="E137" s="151"/>
      <c r="F137" s="73"/>
      <c r="G137" s="145"/>
      <c r="H137" s="145"/>
      <c r="I137" s="145"/>
      <c r="J137" s="145"/>
      <c r="K137" s="145"/>
    </row>
    <row r="138" spans="1:11">
      <c r="A138" s="156" t="s">
        <v>237</v>
      </c>
      <c r="B138" s="189"/>
      <c r="C138" s="151"/>
      <c r="D138" s="151"/>
      <c r="E138" s="154"/>
      <c r="F138" s="369" t="s">
        <v>383</v>
      </c>
      <c r="G138" s="145"/>
      <c r="H138" s="145"/>
      <c r="I138" s="145"/>
      <c r="J138" s="145"/>
      <c r="K138" s="145"/>
    </row>
    <row r="139" spans="1:11">
      <c r="A139" s="121"/>
      <c r="B139" s="121"/>
      <c r="C139" s="121"/>
      <c r="D139" s="121"/>
      <c r="E139" s="121"/>
    </row>
    <row r="140" spans="1:11">
      <c r="C140" s="37">
        <f>'проверка 2018'!B13</f>
        <v>40178399</v>
      </c>
      <c r="D140" s="37">
        <f>'проверка 2018'!B14</f>
        <v>31147499</v>
      </c>
      <c r="E140" s="37">
        <f>'проверка 2018'!I19</f>
        <v>49440.470000000008</v>
      </c>
      <c r="F140" s="252">
        <f>'проверка 2018'!J19</f>
        <v>49440.470000000008</v>
      </c>
      <c r="G140" s="252">
        <f>'проверка 2018'!B24</f>
        <v>9030900</v>
      </c>
      <c r="H140" s="252">
        <f>'проверка 2018'!H36</f>
        <v>14334.770000000002</v>
      </c>
      <c r="I140" s="252">
        <f>'проверка 2018'!I36</f>
        <v>14334.770000000002</v>
      </c>
      <c r="J140" s="252">
        <f>'проверка 2018'!J36</f>
        <v>14334.770000000002</v>
      </c>
      <c r="K140" s="252">
        <f>'проверка 2018'!K36</f>
        <v>14334.770000000002</v>
      </c>
    </row>
    <row r="141" spans="1:11">
      <c r="C141" s="37">
        <f>C132-C140</f>
        <v>-500</v>
      </c>
      <c r="D141" s="37">
        <f t="shared" ref="D141:I141" si="42">D132-D140</f>
        <v>0</v>
      </c>
      <c r="E141" s="37">
        <f t="shared" si="42"/>
        <v>0</v>
      </c>
      <c r="F141" s="37">
        <f t="shared" si="42"/>
        <v>0</v>
      </c>
      <c r="G141" s="37">
        <f t="shared" si="42"/>
        <v>-500</v>
      </c>
      <c r="H141" s="37">
        <f>H132-H140</f>
        <v>0</v>
      </c>
      <c r="I141" s="37">
        <f t="shared" si="42"/>
        <v>0</v>
      </c>
      <c r="J141" s="37">
        <f>J132-J140</f>
        <v>0</v>
      </c>
      <c r="K141" s="37">
        <f>K132-K140</f>
        <v>0</v>
      </c>
    </row>
    <row r="144" spans="1:11" ht="71.25" customHeight="1">
      <c r="A144" s="329" t="s">
        <v>323</v>
      </c>
    </row>
  </sheetData>
  <mergeCells count="21">
    <mergeCell ref="A122:K122"/>
    <mergeCell ref="A33:K33"/>
    <mergeCell ref="A37:K37"/>
    <mergeCell ref="A43:K43"/>
    <mergeCell ref="A74:K74"/>
    <mergeCell ref="A113:K113"/>
    <mergeCell ref="A109:K109"/>
    <mergeCell ref="A28:K28"/>
    <mergeCell ref="A8:K8"/>
    <mergeCell ref="A2:C2"/>
    <mergeCell ref="A106:K106"/>
    <mergeCell ref="A1:K1"/>
    <mergeCell ref="A100:K100"/>
    <mergeCell ref="A15:K15"/>
    <mergeCell ref="A21:K21"/>
    <mergeCell ref="A27:K27"/>
    <mergeCell ref="A3:C3"/>
    <mergeCell ref="A4:K4"/>
    <mergeCell ref="D2:K2"/>
    <mergeCell ref="A80:K80"/>
    <mergeCell ref="A96:K96"/>
  </mergeCells>
  <pageMargins left="0.35433070866141736" right="0" top="0.19685039370078741" bottom="0" header="0.31496062992125984" footer="0"/>
  <pageSetup paperSize="9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41"/>
  <sheetViews>
    <sheetView topLeftCell="C10" zoomScaleSheetLayoutView="100" workbookViewId="0">
      <selection activeCell="O12" sqref="O12"/>
    </sheetView>
  </sheetViews>
  <sheetFormatPr defaultColWidth="9.140625" defaultRowHeight="12.75"/>
  <cols>
    <col min="1" max="1" width="12.140625" style="25" customWidth="1"/>
    <col min="2" max="2" width="15.5703125" style="25" customWidth="1"/>
    <col min="3" max="3" width="18.140625" style="25" customWidth="1"/>
    <col min="4" max="4" width="15.140625" style="25" customWidth="1"/>
    <col min="5" max="6" width="9.140625" style="25"/>
    <col min="7" max="7" width="12.42578125" style="25" customWidth="1"/>
    <col min="8" max="8" width="13.5703125" style="25" customWidth="1"/>
    <col min="9" max="9" width="13.28515625" style="25" customWidth="1"/>
    <col min="10" max="10" width="13.7109375" style="25" customWidth="1"/>
    <col min="11" max="11" width="11" style="25" customWidth="1"/>
    <col min="12" max="15" width="14.7109375" style="25" customWidth="1"/>
    <col min="16" max="16" width="15.140625" style="25" customWidth="1"/>
    <col min="17" max="16384" width="9.140625" style="25"/>
  </cols>
  <sheetData>
    <row r="2" spans="1:16" ht="18">
      <c r="A2" s="487" t="s">
        <v>90</v>
      </c>
      <c r="B2" s="487"/>
      <c r="C2" s="487"/>
      <c r="D2" s="487"/>
    </row>
    <row r="3" spans="1:16">
      <c r="H3" s="25" t="s">
        <v>96</v>
      </c>
    </row>
    <row r="4" spans="1:16">
      <c r="G4" s="25" t="s">
        <v>93</v>
      </c>
      <c r="H4" s="25">
        <v>55106.87</v>
      </c>
    </row>
    <row r="5" spans="1:16">
      <c r="G5" s="25" t="s">
        <v>95</v>
      </c>
      <c r="H5" s="25">
        <v>6946.91</v>
      </c>
      <c r="L5" s="25" t="s">
        <v>137</v>
      </c>
    </row>
    <row r="6" spans="1:16" ht="38.25">
      <c r="G6" s="36" t="s">
        <v>97</v>
      </c>
      <c r="H6" s="25">
        <v>37.35</v>
      </c>
    </row>
    <row r="8" spans="1:16" ht="29.25" customHeight="1">
      <c r="G8" s="488" t="s">
        <v>100</v>
      </c>
      <c r="H8" s="488"/>
      <c r="I8" s="488"/>
      <c r="J8" s="488"/>
      <c r="K8" s="488"/>
    </row>
    <row r="9" spans="1:16">
      <c r="G9" s="38"/>
      <c r="H9" s="38"/>
      <c r="K9" s="38"/>
    </row>
    <row r="10" spans="1:16">
      <c r="G10" s="38"/>
      <c r="H10" s="38"/>
      <c r="I10" s="489" t="s">
        <v>101</v>
      </c>
      <c r="J10" s="490"/>
      <c r="K10" s="38"/>
      <c r="L10" s="489" t="s">
        <v>288</v>
      </c>
      <c r="M10" s="490"/>
      <c r="N10" s="489" t="s">
        <v>289</v>
      </c>
      <c r="O10" s="490"/>
    </row>
    <row r="11" spans="1:16">
      <c r="H11" s="35"/>
      <c r="I11" s="26" t="s">
        <v>96</v>
      </c>
      <c r="J11" s="26" t="s">
        <v>98</v>
      </c>
      <c r="L11" s="26" t="s">
        <v>96</v>
      </c>
      <c r="M11" s="26" t="s">
        <v>98</v>
      </c>
      <c r="N11" s="26" t="s">
        <v>96</v>
      </c>
      <c r="O11" s="26" t="s">
        <v>98</v>
      </c>
    </row>
    <row r="12" spans="1:16">
      <c r="A12" s="26" t="s">
        <v>91</v>
      </c>
      <c r="B12" s="26" t="s">
        <v>92</v>
      </c>
      <c r="C12" s="26" t="s">
        <v>93</v>
      </c>
      <c r="D12" s="26" t="s">
        <v>94</v>
      </c>
      <c r="G12" s="25" t="s">
        <v>290</v>
      </c>
      <c r="I12" s="41">
        <f>ROUND((L12*8+N12*4)/12,0)</f>
        <v>87</v>
      </c>
      <c r="J12" s="41">
        <f>ROUND((M12*8+O12*4)/12,0)</f>
        <v>543</v>
      </c>
      <c r="L12" s="258">
        <v>79</v>
      </c>
      <c r="M12" s="258">
        <v>543</v>
      </c>
      <c r="N12" s="258">
        <v>102</v>
      </c>
      <c r="O12" s="258">
        <f>M12</f>
        <v>543</v>
      </c>
    </row>
    <row r="13" spans="1:16" ht="26.25" customHeight="1">
      <c r="A13" s="27"/>
      <c r="B13" s="28">
        <f>B14+B24</f>
        <v>40178399</v>
      </c>
      <c r="C13" s="28">
        <f>C14+C24</f>
        <v>40178399</v>
      </c>
      <c r="D13" s="28">
        <f>D14+D24</f>
        <v>0</v>
      </c>
      <c r="G13" s="25" t="s">
        <v>96</v>
      </c>
      <c r="H13" s="25" t="s">
        <v>98</v>
      </c>
      <c r="M13" s="486" t="s">
        <v>96</v>
      </c>
      <c r="N13" s="486"/>
      <c r="O13" s="486" t="s">
        <v>98</v>
      </c>
      <c r="P13" s="486"/>
    </row>
    <row r="14" spans="1:16" s="30" customFormat="1" ht="14.1" customHeight="1">
      <c r="A14" s="30" t="s">
        <v>103</v>
      </c>
      <c r="B14" s="28">
        <f>SUM(B15:B20)</f>
        <v>31147499</v>
      </c>
      <c r="C14" s="28">
        <f>SUM(C15:C20)</f>
        <v>31147499</v>
      </c>
      <c r="D14" s="28">
        <f>SUM(D15:D18)</f>
        <v>0</v>
      </c>
      <c r="E14" s="29"/>
      <c r="F14" s="29"/>
      <c r="G14" s="29"/>
      <c r="H14" s="29"/>
      <c r="M14" s="73" t="s">
        <v>269</v>
      </c>
      <c r="N14" s="73" t="s">
        <v>270</v>
      </c>
      <c r="O14" s="73" t="s">
        <v>269</v>
      </c>
      <c r="P14" s="73" t="s">
        <v>270</v>
      </c>
    </row>
    <row r="15" spans="1:16" ht="14.1" customHeight="1">
      <c r="A15" s="26">
        <v>211</v>
      </c>
      <c r="B15" s="42">
        <f>23056087+662059+32372</f>
        <v>23750518</v>
      </c>
      <c r="C15" s="31">
        <f>'свод '!C9+'свод '!C34</f>
        <v>23750518</v>
      </c>
      <c r="D15" s="31">
        <f t="shared" ref="D15:D30" si="0">B15-C15</f>
        <v>0</v>
      </c>
      <c r="G15" s="34">
        <f>ROUND(I15*$I$12,2)</f>
        <v>3279833.01</v>
      </c>
      <c r="H15" s="37">
        <f>B15-G15</f>
        <v>20470684.990000002</v>
      </c>
      <c r="I15" s="34">
        <f>ROUND(B15/($I$12+$J$12),2)</f>
        <v>37699.230000000003</v>
      </c>
      <c r="J15" s="34">
        <f>ROUND(B15/($I$12+$J$12),2)</f>
        <v>37699.230000000003</v>
      </c>
      <c r="M15" s="34">
        <f>ROUND('прил.1+2'!G13/(I12+J12)*I12,2)</f>
        <v>1945936.04</v>
      </c>
      <c r="N15" s="34">
        <f>G15-M15</f>
        <v>1333896.9699999997</v>
      </c>
      <c r="O15" s="34">
        <f>ROUND('прил.1+2'!G13/(I12+J12)*J12,2)</f>
        <v>12145324.949999999</v>
      </c>
      <c r="P15" s="34">
        <f>H15-O15</f>
        <v>8325360.0400000028</v>
      </c>
    </row>
    <row r="16" spans="1:16" ht="14.1" customHeight="1">
      <c r="A16" s="26">
        <v>213</v>
      </c>
      <c r="B16" s="42">
        <f>6962940+199940-9890.81+9790</f>
        <v>7162779.1900000004</v>
      </c>
      <c r="C16" s="31">
        <f>'свод '!C10+'свод '!C35-C19-C20</f>
        <v>7162779.1900000004</v>
      </c>
      <c r="D16" s="31">
        <f t="shared" si="0"/>
        <v>0</v>
      </c>
      <c r="G16" s="34">
        <f t="shared" ref="G16:G18" si="1">ROUND(I16*$I$12,2)</f>
        <v>990511.53</v>
      </c>
      <c r="H16" s="37">
        <f>(B16+B20+B19)-G16</f>
        <v>6182158.4699999997</v>
      </c>
      <c r="I16" s="34">
        <f>ROUND((B16+B19+B20)/($I$12+$J$12),2)</f>
        <v>11385.19</v>
      </c>
      <c r="J16" s="34">
        <f>ROUND((B16+B19+B20)/($I$12+$J$12),2)</f>
        <v>11385.19</v>
      </c>
      <c r="M16" s="25">
        <f>ROUND(M15*0.302,2)</f>
        <v>587672.68000000005</v>
      </c>
      <c r="N16" s="34">
        <f>G16-M16</f>
        <v>402838.85</v>
      </c>
      <c r="O16" s="25">
        <f>ROUND(O15*0.302,2)</f>
        <v>3667888.13</v>
      </c>
      <c r="P16" s="34">
        <f>H16-O16</f>
        <v>2514270.34</v>
      </c>
    </row>
    <row r="17" spans="1:16" ht="14.1" customHeight="1">
      <c r="A17" s="26">
        <v>226</v>
      </c>
      <c r="B17" s="42">
        <v>24077</v>
      </c>
      <c r="C17" s="31">
        <f>'свод '!C12</f>
        <v>24077</v>
      </c>
      <c r="D17" s="31">
        <f t="shared" si="0"/>
        <v>0</v>
      </c>
      <c r="G17" s="34">
        <f t="shared" si="1"/>
        <v>3325.14</v>
      </c>
      <c r="H17" s="37">
        <f t="shared" ref="H17:H18" si="2">B17-G17</f>
        <v>20751.86</v>
      </c>
      <c r="I17" s="34">
        <f>ROUND(B17/($I$12+$J$12),2)</f>
        <v>38.22</v>
      </c>
      <c r="J17" s="34">
        <f t="shared" ref="J17:J18" si="3">ROUND(B17/($I$12+$J$12),2)</f>
        <v>38.22</v>
      </c>
    </row>
    <row r="18" spans="1:16" ht="14.1" customHeight="1">
      <c r="A18" s="26">
        <v>340</v>
      </c>
      <c r="B18" s="42">
        <f>197796+2438</f>
        <v>200234</v>
      </c>
      <c r="C18" s="31">
        <f>'свод '!C11</f>
        <v>200234</v>
      </c>
      <c r="D18" s="31">
        <f t="shared" si="0"/>
        <v>0</v>
      </c>
      <c r="G18" s="34">
        <f t="shared" si="1"/>
        <v>27651.21</v>
      </c>
      <c r="H18" s="37">
        <f t="shared" si="2"/>
        <v>172582.79</v>
      </c>
      <c r="I18" s="34">
        <f t="shared" ref="I18" si="4">ROUND(B18/($I$12+$J$12),2)</f>
        <v>317.83</v>
      </c>
      <c r="J18" s="34">
        <f t="shared" si="3"/>
        <v>317.83</v>
      </c>
    </row>
    <row r="19" spans="1:16" ht="14.1" customHeight="1">
      <c r="A19" s="26" t="s">
        <v>298</v>
      </c>
      <c r="B19" s="42">
        <v>9890.81</v>
      </c>
      <c r="C19" s="31">
        <f>'прил.1+2'!E23+'прил.1+2'!E70</f>
        <v>9890.81</v>
      </c>
      <c r="D19" s="31">
        <f t="shared" si="0"/>
        <v>0</v>
      </c>
      <c r="G19" s="25" t="s">
        <v>99</v>
      </c>
      <c r="I19" s="34">
        <f>SUM(I15:I18)</f>
        <v>49440.470000000008</v>
      </c>
      <c r="J19" s="34">
        <f>SUM(J15:J18)</f>
        <v>49440.470000000008</v>
      </c>
    </row>
    <row r="20" spans="1:16" ht="14.1" customHeight="1">
      <c r="A20" s="26" t="s">
        <v>299</v>
      </c>
      <c r="B20" s="42"/>
      <c r="C20" s="31">
        <f>'прил.1+2'!E24+'прил.1+2'!E71</f>
        <v>0</v>
      </c>
      <c r="D20" s="31">
        <f t="shared" si="0"/>
        <v>0</v>
      </c>
    </row>
    <row r="21" spans="1:16" ht="14.1" customHeight="1">
      <c r="A21" s="26"/>
      <c r="B21" s="33"/>
      <c r="C21" s="31"/>
      <c r="D21" s="31"/>
      <c r="H21" s="491" t="s">
        <v>89</v>
      </c>
      <c r="I21" s="491"/>
      <c r="J21" s="491"/>
      <c r="K21" s="491"/>
    </row>
    <row r="22" spans="1:16" ht="14.1" customHeight="1">
      <c r="A22" s="26"/>
      <c r="B22" s="33"/>
      <c r="C22" s="31"/>
      <c r="D22" s="31"/>
      <c r="H22" s="489" t="s">
        <v>101</v>
      </c>
      <c r="I22" s="490"/>
      <c r="J22" s="489" t="s">
        <v>102</v>
      </c>
      <c r="K22" s="490"/>
      <c r="M22" s="489" t="s">
        <v>291</v>
      </c>
      <c r="N22" s="490"/>
      <c r="O22" s="489" t="s">
        <v>292</v>
      </c>
      <c r="P22" s="490"/>
    </row>
    <row r="23" spans="1:16" ht="14.1" customHeight="1">
      <c r="A23" s="26"/>
      <c r="B23" s="32"/>
      <c r="C23" s="31"/>
      <c r="D23" s="31"/>
      <c r="H23" s="26" t="s">
        <v>96</v>
      </c>
      <c r="I23" s="26" t="s">
        <v>98</v>
      </c>
      <c r="J23" s="26" t="s">
        <v>96</v>
      </c>
      <c r="K23" s="26" t="s">
        <v>98</v>
      </c>
      <c r="M23" s="26" t="s">
        <v>96</v>
      </c>
      <c r="N23" s="26" t="s">
        <v>98</v>
      </c>
      <c r="O23" s="26" t="s">
        <v>96</v>
      </c>
      <c r="P23" s="26" t="s">
        <v>98</v>
      </c>
    </row>
    <row r="24" spans="1:16" ht="14.1" customHeight="1">
      <c r="A24" s="27" t="s">
        <v>104</v>
      </c>
      <c r="B24" s="40">
        <f>SUM(B25:B35)</f>
        <v>9030900</v>
      </c>
      <c r="C24" s="40">
        <f>SUM(C25:C35)</f>
        <v>9030900</v>
      </c>
      <c r="D24" s="40">
        <f>SUM(D25:D33)</f>
        <v>0</v>
      </c>
      <c r="H24" s="41">
        <f>I12-J24</f>
        <v>86</v>
      </c>
      <c r="I24" s="41">
        <f>J12-K24</f>
        <v>541</v>
      </c>
      <c r="J24" s="41">
        <f>ROUND((M24*8+O24*4)/12,0)</f>
        <v>1</v>
      </c>
      <c r="K24" s="41">
        <f>ROUND((N24*8+P24*4)/12,0)</f>
        <v>2</v>
      </c>
      <c r="M24" s="258">
        <v>1</v>
      </c>
      <c r="N24" s="258">
        <v>1</v>
      </c>
      <c r="O24" s="258">
        <f>M24</f>
        <v>1</v>
      </c>
      <c r="P24" s="258">
        <v>4</v>
      </c>
    </row>
    <row r="25" spans="1:16" ht="14.1" customHeight="1">
      <c r="A25" s="26" t="s">
        <v>320</v>
      </c>
      <c r="B25" s="43">
        <f>2487496.6+11452+217581</f>
        <v>2716529.6</v>
      </c>
      <c r="C25" s="31">
        <f>'свод '!C38</f>
        <v>2716529.6</v>
      </c>
      <c r="D25" s="31">
        <f>B25-C25</f>
        <v>0</v>
      </c>
      <c r="H25" s="25">
        <f>IF(H$24&lt;=0,0,ROUND($B25/($H$24+$I$24+$J$24+$K$24),2))</f>
        <v>4311.95</v>
      </c>
      <c r="I25" s="25">
        <f>IF(I$24&lt;=0,0,ROUND($B25/($H$24+$I$24+$J$24+$K$24),2))</f>
        <v>4311.95</v>
      </c>
      <c r="J25" s="25">
        <f>IF(J$24&lt;=0,0,ROUND($B25/($H$24+$I$24+$J$24+$K$24),2))</f>
        <v>4311.95</v>
      </c>
      <c r="K25" s="25">
        <f>IF(K$24&lt;=0,0,ROUND($B25/($H$24+$I$24+$J$24+$K$24),2))</f>
        <v>4311.95</v>
      </c>
    </row>
    <row r="26" spans="1:16" ht="14.1" customHeight="1">
      <c r="A26" s="26">
        <v>212</v>
      </c>
      <c r="B26" s="43">
        <v>7100</v>
      </c>
      <c r="C26" s="31">
        <f>'свод '!C31+'свод '!C13+'прил.1+2'!E38</f>
        <v>7100</v>
      </c>
      <c r="D26" s="31">
        <f>B26-C26</f>
        <v>0</v>
      </c>
      <c r="H26" s="25">
        <f t="shared" ref="H26:K35" si="5">IF(H$24&lt;=0,0,ROUND($B26/($H$24+$I$24+$J$24+$K$24),2))</f>
        <v>11.27</v>
      </c>
      <c r="I26" s="25">
        <f t="shared" si="5"/>
        <v>11.27</v>
      </c>
      <c r="J26" s="25">
        <f t="shared" si="5"/>
        <v>11.27</v>
      </c>
      <c r="K26" s="25">
        <f t="shared" si="5"/>
        <v>11.27</v>
      </c>
    </row>
    <row r="27" spans="1:16" ht="14.1" customHeight="1">
      <c r="A27" s="26" t="s">
        <v>321</v>
      </c>
      <c r="B27" s="43">
        <f>751230.38+3458+65709</f>
        <v>820397.38</v>
      </c>
      <c r="C27" s="31">
        <f>'свод '!C39-C34-C35</f>
        <v>820397.38</v>
      </c>
      <c r="D27" s="31">
        <f>B27-C27</f>
        <v>0</v>
      </c>
      <c r="H27" s="25">
        <f>IF(H$24&lt;=0,0,ROUND(($B27+$B34+$B35)/($H$24+$I$24+$J$24+$K$24),2))</f>
        <v>1302.22</v>
      </c>
      <c r="I27" s="25">
        <f t="shared" ref="I27:K27" si="6">IF(I$24&lt;=0,0,ROUND(($B27+$B34+$B35)/($H$24+$I$24+$J$24+$K$24),2))</f>
        <v>1302.22</v>
      </c>
      <c r="J27" s="25">
        <f t="shared" si="6"/>
        <v>1302.22</v>
      </c>
      <c r="K27" s="25">
        <f t="shared" si="6"/>
        <v>1302.22</v>
      </c>
    </row>
    <row r="28" spans="1:16" ht="14.1" customHeight="1">
      <c r="A28" s="26">
        <v>221</v>
      </c>
      <c r="B28" s="43">
        <v>62367</v>
      </c>
      <c r="C28" s="31">
        <f>'свод '!C75</f>
        <v>62367</v>
      </c>
      <c r="D28" s="31">
        <f t="shared" si="0"/>
        <v>0</v>
      </c>
      <c r="H28" s="25">
        <f t="shared" si="5"/>
        <v>99</v>
      </c>
      <c r="I28" s="25">
        <f t="shared" si="5"/>
        <v>99</v>
      </c>
      <c r="J28" s="25">
        <f t="shared" si="5"/>
        <v>99</v>
      </c>
      <c r="K28" s="25">
        <f t="shared" si="5"/>
        <v>99</v>
      </c>
    </row>
    <row r="29" spans="1:16" ht="14.1" customHeight="1">
      <c r="A29" s="26">
        <v>223</v>
      </c>
      <c r="B29" s="42">
        <v>2132525.4</v>
      </c>
      <c r="C29" s="275">
        <f>'свод '!C120+'свод '!C128+'свод '!C129</f>
        <v>2132525.4</v>
      </c>
      <c r="D29" s="31">
        <f t="shared" si="0"/>
        <v>0</v>
      </c>
      <c r="H29" s="25">
        <f t="shared" si="5"/>
        <v>3384.96</v>
      </c>
      <c r="I29" s="25">
        <f t="shared" si="5"/>
        <v>3384.96</v>
      </c>
      <c r="J29" s="25">
        <f t="shared" si="5"/>
        <v>3384.96</v>
      </c>
      <c r="K29" s="25">
        <f t="shared" si="5"/>
        <v>3384.96</v>
      </c>
    </row>
    <row r="30" spans="1:16" ht="14.1" customHeight="1">
      <c r="A30" s="26">
        <v>225</v>
      </c>
      <c r="B30" s="42">
        <v>546668.92000000004</v>
      </c>
      <c r="C30" s="275">
        <f>'свод '!C73-'свод '!C67-'свод '!C66</f>
        <v>546668.92000000004</v>
      </c>
      <c r="D30" s="31">
        <f t="shared" si="0"/>
        <v>0</v>
      </c>
      <c r="H30" s="25">
        <f t="shared" si="5"/>
        <v>867.73</v>
      </c>
      <c r="I30" s="25">
        <f t="shared" si="5"/>
        <v>867.73</v>
      </c>
      <c r="J30" s="25">
        <f t="shared" si="5"/>
        <v>867.73</v>
      </c>
      <c r="K30" s="25">
        <f t="shared" si="5"/>
        <v>867.73</v>
      </c>
    </row>
    <row r="31" spans="1:16" ht="14.1" customHeight="1">
      <c r="A31" s="26">
        <v>226</v>
      </c>
      <c r="B31" s="42">
        <v>1361534.7</v>
      </c>
      <c r="C31" s="275">
        <f>'свод '!C95+'свод '!C67+'свод '!C66-'свод '!C81-'свод '!C93</f>
        <v>1361534.7000000002</v>
      </c>
      <c r="D31" s="31">
        <f>B31-C31</f>
        <v>0</v>
      </c>
      <c r="H31" s="25">
        <f t="shared" si="5"/>
        <v>2161.17</v>
      </c>
      <c r="I31" s="25">
        <f t="shared" si="5"/>
        <v>2161.17</v>
      </c>
      <c r="J31" s="25">
        <f t="shared" si="5"/>
        <v>2161.17</v>
      </c>
      <c r="K31" s="25">
        <f t="shared" si="5"/>
        <v>2161.17</v>
      </c>
    </row>
    <row r="32" spans="1:16" ht="14.1" customHeight="1">
      <c r="A32" s="26">
        <v>291</v>
      </c>
      <c r="B32" s="42">
        <v>1147817</v>
      </c>
      <c r="C32" s="275">
        <f>'свод '!C131-'свод '!C128-'свод '!C129</f>
        <v>1147817</v>
      </c>
      <c r="D32" s="31">
        <f>B32-C32</f>
        <v>0</v>
      </c>
      <c r="H32" s="25">
        <f t="shared" si="5"/>
        <v>1821.93</v>
      </c>
      <c r="I32" s="25">
        <f t="shared" si="5"/>
        <v>1821.93</v>
      </c>
      <c r="J32" s="25">
        <f t="shared" si="5"/>
        <v>1821.93</v>
      </c>
      <c r="K32" s="25">
        <f t="shared" si="5"/>
        <v>1821.93</v>
      </c>
    </row>
    <row r="33" spans="1:12" ht="14.1" customHeight="1">
      <c r="A33" s="26">
        <v>340</v>
      </c>
      <c r="B33" s="43">
        <v>235960</v>
      </c>
      <c r="C33" s="31">
        <f>'свод '!C81+'свод '!C101+'свод '!C102+'свод '!C103+'свод '!C104</f>
        <v>235960</v>
      </c>
      <c r="D33" s="31">
        <f>B33-C33</f>
        <v>0</v>
      </c>
      <c r="H33" s="25">
        <f t="shared" si="5"/>
        <v>374.54</v>
      </c>
      <c r="I33" s="25">
        <f t="shared" si="5"/>
        <v>374.54</v>
      </c>
      <c r="J33" s="25">
        <f t="shared" si="5"/>
        <v>374.54</v>
      </c>
      <c r="K33" s="25">
        <f t="shared" si="5"/>
        <v>374.54</v>
      </c>
    </row>
    <row r="34" spans="1:12" ht="15">
      <c r="A34" s="26" t="s">
        <v>298</v>
      </c>
      <c r="B34" s="42"/>
      <c r="C34" s="31">
        <f>'прил.1+2'!E91</f>
        <v>0</v>
      </c>
      <c r="D34" s="31">
        <f t="shared" ref="D34:D35" si="7">B34-C34</f>
        <v>0</v>
      </c>
      <c r="H34" s="25">
        <f t="shared" si="5"/>
        <v>0</v>
      </c>
      <c r="I34" s="25">
        <f t="shared" si="5"/>
        <v>0</v>
      </c>
      <c r="J34" s="25">
        <f t="shared" si="5"/>
        <v>0</v>
      </c>
      <c r="K34" s="25">
        <f t="shared" si="5"/>
        <v>0</v>
      </c>
    </row>
    <row r="35" spans="1:12">
      <c r="A35" s="26" t="s">
        <v>299</v>
      </c>
      <c r="B35" s="43"/>
      <c r="C35" s="31">
        <f>'прил.1+2'!E92</f>
        <v>0</v>
      </c>
      <c r="D35" s="31">
        <f t="shared" si="7"/>
        <v>0</v>
      </c>
      <c r="H35" s="25">
        <f t="shared" si="5"/>
        <v>0</v>
      </c>
      <c r="I35" s="25">
        <f t="shared" si="5"/>
        <v>0</v>
      </c>
      <c r="J35" s="25">
        <f t="shared" si="5"/>
        <v>0</v>
      </c>
      <c r="K35" s="25">
        <f t="shared" si="5"/>
        <v>0</v>
      </c>
    </row>
    <row r="36" spans="1:12" ht="25.5">
      <c r="B36" s="34">
        <f>B24-B32+прил.3!G112</f>
        <v>7883083</v>
      </c>
      <c r="G36" s="39" t="s">
        <v>99</v>
      </c>
      <c r="H36" s="34">
        <f>SUM(H25:H35)</f>
        <v>14334.770000000002</v>
      </c>
      <c r="I36" s="34">
        <f t="shared" ref="I36:K36" si="8">SUM(I25:I35)</f>
        <v>14334.770000000002</v>
      </c>
      <c r="J36" s="34">
        <f t="shared" si="8"/>
        <v>14334.770000000002</v>
      </c>
      <c r="K36" s="34">
        <f t="shared" si="8"/>
        <v>14334.770000000002</v>
      </c>
    </row>
    <row r="38" spans="1:12" ht="51">
      <c r="G38" s="39" t="s">
        <v>333</v>
      </c>
      <c r="H38" s="34">
        <v>14774.42</v>
      </c>
      <c r="I38" s="34">
        <f>H38</f>
        <v>14774.42</v>
      </c>
      <c r="J38" s="34">
        <f>I38</f>
        <v>14774.42</v>
      </c>
      <c r="K38" s="34">
        <f>I38</f>
        <v>14774.42</v>
      </c>
      <c r="L38" s="34"/>
    </row>
    <row r="39" spans="1:12">
      <c r="G39" s="25" t="s">
        <v>334</v>
      </c>
      <c r="H39" s="25">
        <v>0.85372000000000003</v>
      </c>
      <c r="I39" s="25">
        <f>H39</f>
        <v>0.85372000000000003</v>
      </c>
      <c r="J39" s="25">
        <f>I39</f>
        <v>0.85372000000000003</v>
      </c>
      <c r="K39" s="25">
        <f>I39</f>
        <v>0.85372000000000003</v>
      </c>
    </row>
    <row r="40" spans="1:12">
      <c r="H40" s="34">
        <f>ROUND(H24*H38*H39,2)</f>
        <v>1084736.73</v>
      </c>
      <c r="I40" s="34">
        <f t="shared" ref="I40:K40" si="9">ROUND(I24*I38*I39,2)</f>
        <v>6823750.8499999996</v>
      </c>
      <c r="J40" s="34">
        <f t="shared" si="9"/>
        <v>12613.22</v>
      </c>
      <c r="K40" s="34">
        <f t="shared" si="9"/>
        <v>25226.44</v>
      </c>
      <c r="L40" s="34">
        <f>SUM(H40:K40)</f>
        <v>7946327.2400000002</v>
      </c>
    </row>
    <row r="41" spans="1:12">
      <c r="L41" s="34">
        <f>B36-L40</f>
        <v>-63244.240000000224</v>
      </c>
    </row>
  </sheetData>
  <mergeCells count="12">
    <mergeCell ref="M13:N13"/>
    <mergeCell ref="O13:P13"/>
    <mergeCell ref="A2:D2"/>
    <mergeCell ref="G8:K8"/>
    <mergeCell ref="H22:I22"/>
    <mergeCell ref="J22:K22"/>
    <mergeCell ref="H21:K21"/>
    <mergeCell ref="I10:J10"/>
    <mergeCell ref="L10:M10"/>
    <mergeCell ref="N10:O10"/>
    <mergeCell ref="M22:N22"/>
    <mergeCell ref="O22:P2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9"/>
  <sheetViews>
    <sheetView zoomScaleSheetLayoutView="100" workbookViewId="0">
      <selection activeCell="I48" sqref="I48"/>
    </sheetView>
  </sheetViews>
  <sheetFormatPr defaultColWidth="9.140625" defaultRowHeight="12.75"/>
  <cols>
    <col min="1" max="1" width="12.140625" style="25" customWidth="1"/>
    <col min="2" max="2" width="15.5703125" style="25" customWidth="1"/>
    <col min="3" max="3" width="18.140625" style="25" hidden="1" customWidth="1"/>
    <col min="4" max="4" width="15.140625" style="25" hidden="1" customWidth="1"/>
    <col min="5" max="6" width="9.140625" style="25"/>
    <col min="7" max="7" width="12.42578125" style="25" customWidth="1"/>
    <col min="8" max="9" width="13.5703125" style="25" customWidth="1"/>
    <col min="10" max="10" width="13.7109375" style="25" customWidth="1"/>
    <col min="11" max="11" width="11.140625" style="25" customWidth="1"/>
    <col min="12" max="15" width="14.7109375" style="25" customWidth="1"/>
    <col min="16" max="16" width="15.140625" style="25" customWidth="1"/>
    <col min="17" max="16384" width="9.140625" style="25"/>
  </cols>
  <sheetData>
    <row r="2" spans="1:16" ht="18">
      <c r="A2" s="487" t="s">
        <v>90</v>
      </c>
      <c r="B2" s="487"/>
      <c r="C2" s="487"/>
      <c r="D2" s="487"/>
    </row>
    <row r="3" spans="1:16">
      <c r="H3" s="25" t="s">
        <v>96</v>
      </c>
    </row>
    <row r="4" spans="1:16">
      <c r="G4" s="25" t="s">
        <v>93</v>
      </c>
      <c r="H4" s="25">
        <v>55106.87</v>
      </c>
    </row>
    <row r="5" spans="1:16">
      <c r="G5" s="25" t="s">
        <v>95</v>
      </c>
      <c r="H5" s="25">
        <v>6946.91</v>
      </c>
    </row>
    <row r="6" spans="1:16" ht="38.25">
      <c r="G6" s="36" t="s">
        <v>97</v>
      </c>
      <c r="H6" s="25">
        <v>37.35</v>
      </c>
    </row>
    <row r="8" spans="1:16" ht="29.25" customHeight="1">
      <c r="G8" s="488" t="s">
        <v>100</v>
      </c>
      <c r="H8" s="488"/>
      <c r="I8" s="488"/>
      <c r="J8" s="488"/>
      <c r="K8" s="488"/>
    </row>
    <row r="9" spans="1:16">
      <c r="G9" s="272"/>
      <c r="H9" s="272"/>
      <c r="K9" s="272"/>
    </row>
    <row r="10" spans="1:16">
      <c r="G10" s="272"/>
      <c r="H10" s="272"/>
      <c r="I10" s="489" t="s">
        <v>101</v>
      </c>
      <c r="J10" s="490"/>
      <c r="K10" s="272"/>
      <c r="L10" s="489" t="s">
        <v>293</v>
      </c>
      <c r="M10" s="490"/>
      <c r="N10" s="489" t="s">
        <v>294</v>
      </c>
      <c r="O10" s="490"/>
    </row>
    <row r="11" spans="1:16">
      <c r="H11" s="35"/>
      <c r="I11" s="26" t="s">
        <v>96</v>
      </c>
      <c r="J11" s="26" t="s">
        <v>98</v>
      </c>
      <c r="L11" s="26" t="s">
        <v>96</v>
      </c>
      <c r="M11" s="26" t="s">
        <v>98</v>
      </c>
      <c r="N11" s="26" t="s">
        <v>96</v>
      </c>
      <c r="O11" s="26" t="s">
        <v>98</v>
      </c>
    </row>
    <row r="12" spans="1:16">
      <c r="A12" s="26" t="s">
        <v>91</v>
      </c>
      <c r="B12" s="26" t="s">
        <v>92</v>
      </c>
      <c r="C12" s="26" t="s">
        <v>93</v>
      </c>
      <c r="D12" s="26" t="s">
        <v>94</v>
      </c>
      <c r="G12" s="25" t="s">
        <v>295</v>
      </c>
      <c r="I12" s="41">
        <f>ROUND((L12*8+N12*4)/12,0)</f>
        <v>87</v>
      </c>
      <c r="J12" s="41">
        <f>ROUND((M12*8+O12*4)/12,0)</f>
        <v>543</v>
      </c>
      <c r="L12" s="258">
        <f>'проверка 2018'!L12</f>
        <v>79</v>
      </c>
      <c r="M12" s="258">
        <f>'проверка 2018'!M12</f>
        <v>543</v>
      </c>
      <c r="N12" s="258">
        <f>'проверка 2018'!N12</f>
        <v>102</v>
      </c>
      <c r="O12" s="258">
        <f>'проверка 2018'!O12</f>
        <v>543</v>
      </c>
    </row>
    <row r="13" spans="1:16" ht="26.25" customHeight="1">
      <c r="A13" s="27"/>
      <c r="B13" s="28">
        <f>B14+B24</f>
        <v>40999700</v>
      </c>
      <c r="C13" s="28">
        <f>C14+C24</f>
        <v>0</v>
      </c>
      <c r="D13" s="28">
        <f>D14+D24</f>
        <v>0</v>
      </c>
      <c r="M13" s="486"/>
      <c r="N13" s="486"/>
      <c r="O13" s="486"/>
      <c r="P13" s="486"/>
    </row>
    <row r="14" spans="1:16" s="30" customFormat="1" ht="14.1" customHeight="1">
      <c r="A14" s="30" t="s">
        <v>103</v>
      </c>
      <c r="B14" s="28">
        <f>SUM(B15:B18)</f>
        <v>31406700</v>
      </c>
      <c r="C14" s="28">
        <f>SUM(C15:C18)</f>
        <v>0</v>
      </c>
      <c r="D14" s="28">
        <f>SUM(D15:D18)</f>
        <v>0</v>
      </c>
      <c r="E14" s="29"/>
      <c r="F14" s="29"/>
      <c r="G14" s="29"/>
      <c r="H14" s="29"/>
      <c r="M14" s="73"/>
      <c r="N14" s="73"/>
      <c r="O14" s="73"/>
      <c r="P14" s="73"/>
    </row>
    <row r="15" spans="1:16" ht="14.1" customHeight="1">
      <c r="A15" s="26">
        <v>211</v>
      </c>
      <c r="B15" s="42">
        <v>23952129</v>
      </c>
      <c r="C15" s="31"/>
      <c r="D15" s="31"/>
      <c r="G15" s="34"/>
      <c r="H15" s="37"/>
      <c r="I15" s="34">
        <f>ROUND(B15/($I$12+$J$12),2)</f>
        <v>38019.25</v>
      </c>
      <c r="J15" s="34">
        <f>ROUND(B15/($I$12+$J$12),2)</f>
        <v>38019.25</v>
      </c>
      <c r="M15" s="34"/>
      <c r="N15" s="34"/>
      <c r="O15" s="34"/>
      <c r="P15" s="34"/>
    </row>
    <row r="16" spans="1:16" ht="14.1" customHeight="1">
      <c r="A16" s="26">
        <v>213</v>
      </c>
      <c r="B16" s="42">
        <v>7233543</v>
      </c>
      <c r="C16" s="31"/>
      <c r="D16" s="31"/>
      <c r="G16" s="34"/>
      <c r="H16" s="37"/>
      <c r="I16" s="34">
        <f t="shared" ref="I16:I18" si="0">ROUND(B16/($I$12+$J$12),2)</f>
        <v>11481.81</v>
      </c>
      <c r="J16" s="34">
        <f t="shared" ref="J16:J18" si="1">ROUND(B16/($I$12+$J$12),2)</f>
        <v>11481.81</v>
      </c>
      <c r="N16" s="34"/>
      <c r="P16" s="34"/>
    </row>
    <row r="17" spans="1:16" ht="14.1" customHeight="1">
      <c r="A17" s="26">
        <v>226</v>
      </c>
      <c r="B17" s="42">
        <v>23232</v>
      </c>
      <c r="C17" s="31"/>
      <c r="D17" s="31"/>
      <c r="G17" s="34"/>
      <c r="H17" s="37"/>
      <c r="I17" s="34">
        <f t="shared" si="0"/>
        <v>36.880000000000003</v>
      </c>
      <c r="J17" s="34">
        <f t="shared" si="1"/>
        <v>36.880000000000003</v>
      </c>
    </row>
    <row r="18" spans="1:16" ht="14.1" customHeight="1">
      <c r="A18" s="26">
        <v>340</v>
      </c>
      <c r="B18" s="42">
        <v>197796</v>
      </c>
      <c r="C18" s="31"/>
      <c r="D18" s="31"/>
      <c r="G18" s="34"/>
      <c r="H18" s="37"/>
      <c r="I18" s="34">
        <f t="shared" si="0"/>
        <v>313.95999999999998</v>
      </c>
      <c r="J18" s="34">
        <f t="shared" si="1"/>
        <v>313.95999999999998</v>
      </c>
    </row>
    <row r="19" spans="1:16" ht="14.1" customHeight="1">
      <c r="A19" s="26"/>
      <c r="B19" s="33"/>
      <c r="C19" s="31"/>
      <c r="D19" s="31"/>
      <c r="G19" s="25" t="s">
        <v>99</v>
      </c>
      <c r="I19" s="34">
        <f>SUM(I15:I18)</f>
        <v>49851.899999999994</v>
      </c>
      <c r="J19" s="34">
        <f>SUM(J15:J18)</f>
        <v>49851.899999999994</v>
      </c>
    </row>
    <row r="20" spans="1:16" ht="14.1" customHeight="1">
      <c r="A20" s="26"/>
      <c r="B20" s="33"/>
      <c r="C20" s="31"/>
      <c r="D20" s="31"/>
    </row>
    <row r="21" spans="1:16" ht="14.1" customHeight="1">
      <c r="A21" s="26"/>
      <c r="B21" s="33"/>
      <c r="C21" s="31"/>
      <c r="D21" s="31"/>
      <c r="H21" s="491" t="s">
        <v>89</v>
      </c>
      <c r="I21" s="491"/>
      <c r="J21" s="491"/>
      <c r="K21" s="491"/>
    </row>
    <row r="22" spans="1:16" ht="14.1" customHeight="1">
      <c r="A22" s="26"/>
      <c r="B22" s="33"/>
      <c r="C22" s="31"/>
      <c r="D22" s="31"/>
      <c r="H22" s="489" t="s">
        <v>101</v>
      </c>
      <c r="I22" s="490"/>
      <c r="J22" s="489" t="s">
        <v>102</v>
      </c>
      <c r="K22" s="490"/>
      <c r="M22" s="489" t="s">
        <v>293</v>
      </c>
      <c r="N22" s="490"/>
      <c r="O22" s="489" t="s">
        <v>294</v>
      </c>
      <c r="P22" s="490"/>
    </row>
    <row r="23" spans="1:16" ht="14.1" customHeight="1">
      <c r="A23" s="26"/>
      <c r="B23" s="32"/>
      <c r="C23" s="31"/>
      <c r="D23" s="31"/>
      <c r="H23" s="26" t="s">
        <v>96</v>
      </c>
      <c r="I23" s="26" t="s">
        <v>98</v>
      </c>
      <c r="J23" s="26" t="s">
        <v>96</v>
      </c>
      <c r="K23" s="26" t="s">
        <v>98</v>
      </c>
      <c r="M23" s="26" t="s">
        <v>96</v>
      </c>
      <c r="N23" s="26" t="s">
        <v>98</v>
      </c>
      <c r="O23" s="26" t="s">
        <v>96</v>
      </c>
      <c r="P23" s="26" t="s">
        <v>98</v>
      </c>
    </row>
    <row r="24" spans="1:16" ht="14.1" customHeight="1">
      <c r="A24" s="27" t="s">
        <v>104</v>
      </c>
      <c r="B24" s="40">
        <f>SUM(B25:B33)</f>
        <v>9593000</v>
      </c>
      <c r="C24" s="40">
        <f>SUM(C25:C33)</f>
        <v>0</v>
      </c>
      <c r="D24" s="40">
        <f>SUM(D25:D33)</f>
        <v>0</v>
      </c>
      <c r="H24" s="41">
        <f>I12-J24</f>
        <v>86</v>
      </c>
      <c r="I24" s="41">
        <f>J12-K24</f>
        <v>541</v>
      </c>
      <c r="J24" s="41">
        <f>ROUND((M24*8+O24*4)/12,0)</f>
        <v>1</v>
      </c>
      <c r="K24" s="41">
        <f>ROUND((N24*8+P24*4)/12,0)</f>
        <v>2</v>
      </c>
      <c r="M24" s="258">
        <f>'проверка 2018'!M24</f>
        <v>1</v>
      </c>
      <c r="N24" s="258">
        <f>'проверка 2018'!N24</f>
        <v>1</v>
      </c>
      <c r="O24" s="258">
        <f>'проверка 2018'!O24</f>
        <v>1</v>
      </c>
      <c r="P24" s="258">
        <f>'проверка 2018'!P24</f>
        <v>4</v>
      </c>
    </row>
    <row r="25" spans="1:16" ht="14.1" customHeight="1">
      <c r="A25" s="26">
        <v>211</v>
      </c>
      <c r="B25" s="43">
        <v>3955146</v>
      </c>
      <c r="C25" s="31"/>
      <c r="D25" s="31"/>
      <c r="H25" s="25">
        <f>IF(H$24&lt;=0,0,ROUND($B25/($H$24+$I$24+$J$24+$K$24),2))</f>
        <v>6278.01</v>
      </c>
      <c r="I25" s="25">
        <f>IF(I$24&lt;=0,0,ROUND($B25/($H$24+$I$24+$J$24+$K$24),2))</f>
        <v>6278.01</v>
      </c>
      <c r="J25" s="25">
        <f>IF(J$24&lt;=0,0,ROUND($B25/($H$24+$I$24+$J$24+$K$24),2))</f>
        <v>6278.01</v>
      </c>
      <c r="K25" s="25">
        <f>IF(K$24&lt;=0,0,ROUND($B25/($H$24+$I$24+$J$24+$K$24),2))</f>
        <v>6278.01</v>
      </c>
    </row>
    <row r="26" spans="1:16" ht="14.1" customHeight="1">
      <c r="A26" s="26">
        <v>212</v>
      </c>
      <c r="B26" s="43">
        <v>5400</v>
      </c>
      <c r="C26" s="31"/>
      <c r="D26" s="31"/>
      <c r="H26" s="25">
        <f t="shared" ref="H26:K33" si="2">IF(H$24&lt;=0,0,ROUND($B26/($H$24+$I$24+$J$24+$K$24),2))</f>
        <v>8.57</v>
      </c>
      <c r="I26" s="25">
        <f t="shared" si="2"/>
        <v>8.57</v>
      </c>
      <c r="J26" s="25">
        <f t="shared" si="2"/>
        <v>8.57</v>
      </c>
      <c r="K26" s="25">
        <f t="shared" si="2"/>
        <v>8.57</v>
      </c>
    </row>
    <row r="27" spans="1:16" ht="14.1" customHeight="1">
      <c r="A27" s="26">
        <v>213</v>
      </c>
      <c r="B27" s="43">
        <v>1194454</v>
      </c>
      <c r="C27" s="31"/>
      <c r="D27" s="31"/>
      <c r="H27" s="25">
        <f t="shared" si="2"/>
        <v>1895.96</v>
      </c>
      <c r="I27" s="25">
        <f t="shared" si="2"/>
        <v>1895.96</v>
      </c>
      <c r="J27" s="25">
        <f t="shared" si="2"/>
        <v>1895.96</v>
      </c>
      <c r="K27" s="25">
        <f t="shared" si="2"/>
        <v>1895.96</v>
      </c>
    </row>
    <row r="28" spans="1:16" ht="14.1" customHeight="1">
      <c r="A28" s="26">
        <v>221</v>
      </c>
      <c r="B28" s="43">
        <v>62367</v>
      </c>
      <c r="C28" s="31"/>
      <c r="D28" s="31"/>
      <c r="H28" s="25">
        <f t="shared" si="2"/>
        <v>99</v>
      </c>
      <c r="I28" s="25">
        <f t="shared" si="2"/>
        <v>99</v>
      </c>
      <c r="J28" s="25">
        <f t="shared" si="2"/>
        <v>99</v>
      </c>
      <c r="K28" s="25">
        <f t="shared" si="2"/>
        <v>99</v>
      </c>
    </row>
    <row r="29" spans="1:16" ht="14.1" customHeight="1">
      <c r="A29" s="26">
        <v>223</v>
      </c>
      <c r="B29" s="42">
        <v>2237900</v>
      </c>
      <c r="C29" s="31"/>
      <c r="D29" s="31"/>
      <c r="H29" s="25">
        <f t="shared" si="2"/>
        <v>3552.22</v>
      </c>
      <c r="I29" s="25">
        <f t="shared" si="2"/>
        <v>3552.22</v>
      </c>
      <c r="J29" s="25">
        <f t="shared" si="2"/>
        <v>3552.22</v>
      </c>
      <c r="K29" s="25">
        <f t="shared" si="2"/>
        <v>3552.22</v>
      </c>
    </row>
    <row r="30" spans="1:16" ht="14.1" customHeight="1">
      <c r="A30" s="26">
        <v>225</v>
      </c>
      <c r="B30" s="42">
        <v>556309</v>
      </c>
      <c r="C30" s="31"/>
      <c r="D30" s="31"/>
      <c r="H30" s="25">
        <f t="shared" si="2"/>
        <v>883.03</v>
      </c>
      <c r="I30" s="25">
        <f t="shared" si="2"/>
        <v>883.03</v>
      </c>
      <c r="J30" s="25">
        <f t="shared" si="2"/>
        <v>883.03</v>
      </c>
      <c r="K30" s="25">
        <f t="shared" si="2"/>
        <v>883.03</v>
      </c>
    </row>
    <row r="31" spans="1:16" ht="14.1" customHeight="1">
      <c r="A31" s="26">
        <v>226</v>
      </c>
      <c r="B31" s="42">
        <v>318264</v>
      </c>
      <c r="C31" s="31"/>
      <c r="D31" s="31"/>
      <c r="H31" s="25">
        <f t="shared" si="2"/>
        <v>505.18</v>
      </c>
      <c r="I31" s="25">
        <f t="shared" si="2"/>
        <v>505.18</v>
      </c>
      <c r="J31" s="25">
        <f t="shared" si="2"/>
        <v>505.18</v>
      </c>
      <c r="K31" s="25">
        <f t="shared" si="2"/>
        <v>505.18</v>
      </c>
    </row>
    <row r="32" spans="1:16" ht="14.1" customHeight="1">
      <c r="A32" s="26">
        <v>290</v>
      </c>
      <c r="B32" s="42">
        <v>1151200</v>
      </c>
      <c r="C32" s="31"/>
      <c r="D32" s="31"/>
      <c r="H32" s="25">
        <f t="shared" si="2"/>
        <v>1827.3</v>
      </c>
      <c r="I32" s="25">
        <f t="shared" si="2"/>
        <v>1827.3</v>
      </c>
      <c r="J32" s="25">
        <f t="shared" si="2"/>
        <v>1827.3</v>
      </c>
      <c r="K32" s="25">
        <f t="shared" si="2"/>
        <v>1827.3</v>
      </c>
    </row>
    <row r="33" spans="1:12" ht="14.1" customHeight="1">
      <c r="A33" s="26">
        <v>340</v>
      </c>
      <c r="B33" s="43">
        <v>111960</v>
      </c>
      <c r="C33" s="31"/>
      <c r="D33" s="31"/>
      <c r="H33" s="25">
        <f t="shared" si="2"/>
        <v>177.71</v>
      </c>
      <c r="I33" s="25">
        <f t="shared" si="2"/>
        <v>177.71</v>
      </c>
      <c r="J33" s="25">
        <f t="shared" si="2"/>
        <v>177.71</v>
      </c>
      <c r="K33" s="25">
        <f t="shared" si="2"/>
        <v>177.71</v>
      </c>
    </row>
    <row r="34" spans="1:12" ht="25.5">
      <c r="B34" s="34">
        <f>B24-B32+прил.3!G112</f>
        <v>8441800</v>
      </c>
      <c r="G34" s="39" t="s">
        <v>99</v>
      </c>
      <c r="H34" s="34">
        <f>SUM(H25:H33)</f>
        <v>15226.98</v>
      </c>
      <c r="I34" s="34">
        <f>SUM(I25:I33)</f>
        <v>15226.98</v>
      </c>
      <c r="J34" s="34">
        <f>SUM(J25:J33)</f>
        <v>15226.98</v>
      </c>
      <c r="K34" s="34">
        <f>SUM(K25:K33)</f>
        <v>15226.98</v>
      </c>
    </row>
    <row r="35" spans="1:12">
      <c r="C35" s="216"/>
    </row>
    <row r="36" spans="1:12" ht="51">
      <c r="G36" s="39" t="s">
        <v>333</v>
      </c>
      <c r="H36" s="34">
        <v>16225.2</v>
      </c>
      <c r="I36" s="34">
        <f>H36</f>
        <v>16225.2</v>
      </c>
      <c r="J36" s="34">
        <f>I36</f>
        <v>16225.2</v>
      </c>
      <c r="K36" s="34">
        <f>I36</f>
        <v>16225.2</v>
      </c>
      <c r="L36" s="34"/>
    </row>
    <row r="37" spans="1:12">
      <c r="G37" s="25" t="s">
        <v>334</v>
      </c>
      <c r="H37" s="25">
        <v>0.83648</v>
      </c>
      <c r="I37" s="25">
        <f>H37</f>
        <v>0.83648</v>
      </c>
      <c r="J37" s="34">
        <f>I37</f>
        <v>0.83648</v>
      </c>
      <c r="K37" s="25">
        <f>I37</f>
        <v>0.83648</v>
      </c>
    </row>
    <row r="38" spans="1:12">
      <c r="H38" s="34">
        <f>ROUND(H24*H36*H37,2)</f>
        <v>1167196.76</v>
      </c>
      <c r="I38" s="34">
        <f t="shared" ref="I38:K38" si="3">ROUND(I24*I36*I37,2)</f>
        <v>7342481.9199999999</v>
      </c>
      <c r="J38" s="34">
        <f t="shared" si="3"/>
        <v>13572.06</v>
      </c>
      <c r="K38" s="34">
        <f t="shared" si="3"/>
        <v>27144.11</v>
      </c>
      <c r="L38" s="34">
        <f>SUM(H38:K38)</f>
        <v>8550394.8499999996</v>
      </c>
    </row>
    <row r="39" spans="1:12">
      <c r="L39" s="34">
        <f>B34-L38</f>
        <v>-108594.84999999963</v>
      </c>
    </row>
  </sheetData>
  <mergeCells count="12">
    <mergeCell ref="H21:K21"/>
    <mergeCell ref="H22:I22"/>
    <mergeCell ref="J22:K22"/>
    <mergeCell ref="M22:N22"/>
    <mergeCell ref="O22:P22"/>
    <mergeCell ref="M13:N13"/>
    <mergeCell ref="O13:P13"/>
    <mergeCell ref="A2:D2"/>
    <mergeCell ref="G8:K8"/>
    <mergeCell ref="I10:J10"/>
    <mergeCell ref="L10:M10"/>
    <mergeCell ref="N10:O1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39"/>
  <sheetViews>
    <sheetView topLeftCell="A4" zoomScaleSheetLayoutView="100" workbookViewId="0">
      <selection activeCell="J36" sqref="J36:J37"/>
    </sheetView>
  </sheetViews>
  <sheetFormatPr defaultColWidth="9.140625" defaultRowHeight="12.75"/>
  <cols>
    <col min="1" max="1" width="12.140625" style="25" customWidth="1"/>
    <col min="2" max="2" width="15.5703125" style="25" customWidth="1"/>
    <col min="3" max="3" width="18.140625" style="25" hidden="1" customWidth="1"/>
    <col min="4" max="4" width="15.140625" style="25" hidden="1" customWidth="1"/>
    <col min="5" max="6" width="9.140625" style="25"/>
    <col min="7" max="7" width="12.42578125" style="25" customWidth="1"/>
    <col min="8" max="8" width="13.5703125" style="25" customWidth="1"/>
    <col min="9" max="9" width="13.28515625" style="25" customWidth="1"/>
    <col min="10" max="10" width="13.7109375" style="25" customWidth="1"/>
    <col min="11" max="11" width="11.42578125" style="25" customWidth="1"/>
    <col min="12" max="15" width="14.7109375" style="25" customWidth="1"/>
    <col min="16" max="16" width="15.140625" style="25" customWidth="1"/>
    <col min="17" max="16384" width="9.140625" style="25"/>
  </cols>
  <sheetData>
    <row r="2" spans="1:16" ht="18">
      <c r="A2" s="487" t="s">
        <v>90</v>
      </c>
      <c r="B2" s="487"/>
      <c r="C2" s="487"/>
      <c r="D2" s="487"/>
    </row>
    <row r="3" spans="1:16">
      <c r="H3" s="25" t="s">
        <v>96</v>
      </c>
    </row>
    <row r="4" spans="1:16">
      <c r="G4" s="25" t="s">
        <v>93</v>
      </c>
      <c r="H4" s="25">
        <v>55106.87</v>
      </c>
    </row>
    <row r="5" spans="1:16">
      <c r="G5" s="25" t="s">
        <v>95</v>
      </c>
      <c r="H5" s="25">
        <v>6946.91</v>
      </c>
    </row>
    <row r="6" spans="1:16" ht="38.25">
      <c r="G6" s="36" t="s">
        <v>97</v>
      </c>
      <c r="H6" s="25">
        <v>37.35</v>
      </c>
    </row>
    <row r="8" spans="1:16" ht="29.25" customHeight="1">
      <c r="G8" s="488" t="s">
        <v>100</v>
      </c>
      <c r="H8" s="488"/>
      <c r="I8" s="488"/>
      <c r="J8" s="488"/>
      <c r="K8" s="488"/>
    </row>
    <row r="9" spans="1:16">
      <c r="G9" s="272"/>
      <c r="H9" s="272"/>
      <c r="K9" s="272"/>
    </row>
    <row r="10" spans="1:16">
      <c r="G10" s="272"/>
      <c r="H10" s="272"/>
      <c r="I10" s="489" t="s">
        <v>101</v>
      </c>
      <c r="J10" s="490"/>
      <c r="K10" s="272"/>
      <c r="L10" s="489" t="s">
        <v>325</v>
      </c>
      <c r="M10" s="490"/>
      <c r="N10" s="489" t="s">
        <v>326</v>
      </c>
      <c r="O10" s="490"/>
    </row>
    <row r="11" spans="1:16">
      <c r="H11" s="35"/>
      <c r="I11" s="26" t="s">
        <v>96</v>
      </c>
      <c r="J11" s="26" t="s">
        <v>98</v>
      </c>
      <c r="L11" s="26" t="s">
        <v>96</v>
      </c>
      <c r="M11" s="26" t="s">
        <v>98</v>
      </c>
      <c r="N11" s="26" t="s">
        <v>96</v>
      </c>
      <c r="O11" s="26" t="s">
        <v>98</v>
      </c>
    </row>
    <row r="12" spans="1:16">
      <c r="A12" s="26" t="s">
        <v>91</v>
      </c>
      <c r="B12" s="26" t="s">
        <v>92</v>
      </c>
      <c r="C12" s="26" t="s">
        <v>93</v>
      </c>
      <c r="D12" s="26" t="s">
        <v>94</v>
      </c>
      <c r="G12" s="25" t="s">
        <v>324</v>
      </c>
      <c r="I12" s="41">
        <f>ROUND((L12*8+N12*4)/12,0)</f>
        <v>87</v>
      </c>
      <c r="J12" s="41">
        <f>ROUND((M12*8+O12*4)/12,0)</f>
        <v>543</v>
      </c>
      <c r="L12" s="258">
        <f>'проверка 2019 '!L12</f>
        <v>79</v>
      </c>
      <c r="M12" s="258">
        <f>'проверка 2019 '!M12</f>
        <v>543</v>
      </c>
      <c r="N12" s="258">
        <f>'проверка 2019 '!N12</f>
        <v>102</v>
      </c>
      <c r="O12" s="258">
        <f>'проверка 2019 '!O12</f>
        <v>543</v>
      </c>
    </row>
    <row r="13" spans="1:16" ht="26.25" customHeight="1">
      <c r="A13" s="27"/>
      <c r="B13" s="28">
        <f>B14+B24</f>
        <v>41690000</v>
      </c>
      <c r="C13" s="28">
        <f>C14+C24</f>
        <v>0</v>
      </c>
      <c r="D13" s="28">
        <f>D14+D24</f>
        <v>0</v>
      </c>
      <c r="M13" s="486"/>
      <c r="N13" s="486"/>
      <c r="O13" s="486"/>
      <c r="P13" s="486"/>
    </row>
    <row r="14" spans="1:16" s="30" customFormat="1" ht="14.1" customHeight="1">
      <c r="A14" s="30" t="s">
        <v>103</v>
      </c>
      <c r="B14" s="28">
        <f>SUM(B15:B18)</f>
        <v>32029100</v>
      </c>
      <c r="C14" s="28">
        <f>SUM(C15:C18)</f>
        <v>0</v>
      </c>
      <c r="D14" s="28">
        <f>SUM(D15:D18)</f>
        <v>0</v>
      </c>
      <c r="E14" s="29"/>
      <c r="F14" s="29"/>
      <c r="G14" s="29"/>
      <c r="H14" s="29"/>
      <c r="M14" s="73"/>
      <c r="N14" s="73"/>
      <c r="O14" s="73"/>
      <c r="P14" s="73"/>
    </row>
    <row r="15" spans="1:16" ht="14.1" customHeight="1">
      <c r="A15" s="26">
        <v>211</v>
      </c>
      <c r="B15" s="42">
        <v>24430162</v>
      </c>
      <c r="C15" s="31"/>
      <c r="D15" s="31"/>
      <c r="G15" s="34"/>
      <c r="H15" s="37"/>
      <c r="I15" s="34">
        <f>ROUND(B15/($I$12+$J$12),2)</f>
        <v>38778.03</v>
      </c>
      <c r="J15" s="34">
        <f>ROUND(B15/($I$12+$J$12),2)</f>
        <v>38778.03</v>
      </c>
      <c r="M15" s="34"/>
      <c r="N15" s="34"/>
      <c r="O15" s="34"/>
      <c r="P15" s="34"/>
    </row>
    <row r="16" spans="1:16" ht="14.1" customHeight="1">
      <c r="A16" s="26">
        <v>213</v>
      </c>
      <c r="B16" s="42">
        <v>7377910</v>
      </c>
      <c r="C16" s="31"/>
      <c r="D16" s="31"/>
      <c r="G16" s="34"/>
      <c r="H16" s="37"/>
      <c r="I16" s="34">
        <f t="shared" ref="I16:I18" si="0">ROUND(B16/($I$12+$J$12),2)</f>
        <v>11710.97</v>
      </c>
      <c r="J16" s="34">
        <f t="shared" ref="J16:J18" si="1">ROUND(B16/($I$12+$J$12),2)</f>
        <v>11710.97</v>
      </c>
      <c r="N16" s="34"/>
      <c r="P16" s="34"/>
    </row>
    <row r="17" spans="1:16" ht="14.1" customHeight="1">
      <c r="A17" s="26">
        <v>226</v>
      </c>
      <c r="B17" s="42">
        <v>23232</v>
      </c>
      <c r="C17" s="31"/>
      <c r="D17" s="31"/>
      <c r="G17" s="34"/>
      <c r="H17" s="37"/>
      <c r="I17" s="34">
        <f t="shared" si="0"/>
        <v>36.880000000000003</v>
      </c>
      <c r="J17" s="34">
        <f t="shared" si="1"/>
        <v>36.880000000000003</v>
      </c>
    </row>
    <row r="18" spans="1:16" ht="14.1" customHeight="1">
      <c r="A18" s="26">
        <v>340</v>
      </c>
      <c r="B18" s="42">
        <v>197796</v>
      </c>
      <c r="C18" s="31"/>
      <c r="D18" s="31"/>
      <c r="G18" s="34"/>
      <c r="H18" s="37"/>
      <c r="I18" s="34">
        <f t="shared" si="0"/>
        <v>313.95999999999998</v>
      </c>
      <c r="J18" s="34">
        <f t="shared" si="1"/>
        <v>313.95999999999998</v>
      </c>
    </row>
    <row r="19" spans="1:16" ht="14.1" customHeight="1">
      <c r="A19" s="26"/>
      <c r="B19" s="33"/>
      <c r="C19" s="31"/>
      <c r="D19" s="31"/>
      <c r="G19" s="25" t="s">
        <v>99</v>
      </c>
      <c r="I19" s="34">
        <f>SUM(I15:I18)</f>
        <v>50839.839999999997</v>
      </c>
      <c r="J19" s="34">
        <f>SUM(J15:J18)</f>
        <v>50839.839999999997</v>
      </c>
    </row>
    <row r="20" spans="1:16" ht="14.1" customHeight="1">
      <c r="A20" s="26"/>
      <c r="B20" s="33"/>
      <c r="C20" s="31"/>
      <c r="D20" s="31"/>
    </row>
    <row r="21" spans="1:16" ht="14.1" customHeight="1">
      <c r="A21" s="26"/>
      <c r="B21" s="33"/>
      <c r="C21" s="31"/>
      <c r="D21" s="31"/>
      <c r="H21" s="491" t="s">
        <v>89</v>
      </c>
      <c r="I21" s="491"/>
      <c r="J21" s="491"/>
      <c r="K21" s="491"/>
    </row>
    <row r="22" spans="1:16" ht="14.1" customHeight="1">
      <c r="A22" s="26"/>
      <c r="B22" s="33"/>
      <c r="C22" s="31"/>
      <c r="D22" s="31"/>
      <c r="H22" s="489" t="s">
        <v>101</v>
      </c>
      <c r="I22" s="490"/>
      <c r="J22" s="489" t="s">
        <v>102</v>
      </c>
      <c r="K22" s="490"/>
      <c r="M22" s="489" t="s">
        <v>325</v>
      </c>
      <c r="N22" s="490"/>
      <c r="O22" s="489" t="s">
        <v>326</v>
      </c>
      <c r="P22" s="490"/>
    </row>
    <row r="23" spans="1:16" ht="14.1" customHeight="1">
      <c r="A23" s="26"/>
      <c r="B23" s="32"/>
      <c r="C23" s="31"/>
      <c r="D23" s="31"/>
      <c r="H23" s="26" t="s">
        <v>96</v>
      </c>
      <c r="I23" s="26" t="s">
        <v>98</v>
      </c>
      <c r="J23" s="26" t="s">
        <v>96</v>
      </c>
      <c r="K23" s="26" t="s">
        <v>98</v>
      </c>
      <c r="M23" s="26" t="s">
        <v>96</v>
      </c>
      <c r="N23" s="26" t="s">
        <v>98</v>
      </c>
      <c r="O23" s="26" t="s">
        <v>96</v>
      </c>
      <c r="P23" s="26" t="s">
        <v>98</v>
      </c>
    </row>
    <row r="24" spans="1:16" ht="14.1" customHeight="1">
      <c r="A24" s="27" t="s">
        <v>104</v>
      </c>
      <c r="B24" s="40">
        <f>SUM(B25:B33)</f>
        <v>9660900</v>
      </c>
      <c r="C24" s="40">
        <f>SUM(C25:C33)</f>
        <v>0</v>
      </c>
      <c r="D24" s="40">
        <f>SUM(D25:D33)</f>
        <v>0</v>
      </c>
      <c r="H24" s="41">
        <f>I12-J24</f>
        <v>86</v>
      </c>
      <c r="I24" s="41">
        <f>J12-K24</f>
        <v>541</v>
      </c>
      <c r="J24" s="41">
        <f>ROUND((M24*8+O24*4)/12,0)</f>
        <v>1</v>
      </c>
      <c r="K24" s="41">
        <f>ROUND((N24*8+P24*4)/12,0)</f>
        <v>2</v>
      </c>
      <c r="M24" s="258">
        <f>'проверка 2019 '!M24</f>
        <v>1</v>
      </c>
      <c r="N24" s="258">
        <f>'проверка 2019 '!N24</f>
        <v>1</v>
      </c>
      <c r="O24" s="258">
        <f>'проверка 2019 '!O24</f>
        <v>1</v>
      </c>
      <c r="P24" s="258">
        <f>'проверка 2019 '!P24</f>
        <v>4</v>
      </c>
    </row>
    <row r="25" spans="1:16" ht="14.1" customHeight="1">
      <c r="A25" s="26">
        <v>211</v>
      </c>
      <c r="B25" s="43">
        <v>4007296</v>
      </c>
      <c r="C25" s="31"/>
      <c r="D25" s="31"/>
      <c r="H25" s="25">
        <f>IF(H$24&lt;=0,0,ROUND($B25/($H$24+$I$24+$J$24+$K$24),2))</f>
        <v>6360.79</v>
      </c>
      <c r="I25" s="25">
        <f>IF(I$24&lt;=0,0,ROUND($B25/($H$24+$I$24+$J$24+$K$24),2))</f>
        <v>6360.79</v>
      </c>
      <c r="J25" s="25">
        <f>IF(J$24&lt;=0,0,ROUND($B25/($H$24+$I$24+$J$24+$K$24),2))</f>
        <v>6360.79</v>
      </c>
      <c r="K25" s="25">
        <f>IF(K$24&lt;=0,0,ROUND($B25/($H$24+$I$24+$J$24+$K$24),2))</f>
        <v>6360.79</v>
      </c>
    </row>
    <row r="26" spans="1:16" ht="14.1" customHeight="1">
      <c r="A26" s="26">
        <v>212</v>
      </c>
      <c r="B26" s="43">
        <v>5400</v>
      </c>
      <c r="C26" s="31"/>
      <c r="D26" s="31"/>
      <c r="H26" s="25">
        <f t="shared" ref="H26:K33" si="2">IF(H$24&lt;=0,0,ROUND($B26/($H$24+$I$24+$J$24+$K$24),2))</f>
        <v>8.57</v>
      </c>
      <c r="I26" s="25">
        <f t="shared" si="2"/>
        <v>8.57</v>
      </c>
      <c r="J26" s="25">
        <f t="shared" si="2"/>
        <v>8.57</v>
      </c>
      <c r="K26" s="25">
        <f t="shared" si="2"/>
        <v>8.57</v>
      </c>
    </row>
    <row r="27" spans="1:16" ht="14.1" customHeight="1">
      <c r="A27" s="26">
        <v>213</v>
      </c>
      <c r="B27" s="43">
        <v>1210204</v>
      </c>
      <c r="C27" s="31"/>
      <c r="D27" s="31"/>
      <c r="H27" s="25">
        <f t="shared" si="2"/>
        <v>1920.96</v>
      </c>
      <c r="I27" s="25">
        <f t="shared" si="2"/>
        <v>1920.96</v>
      </c>
      <c r="J27" s="25">
        <f t="shared" si="2"/>
        <v>1920.96</v>
      </c>
      <c r="K27" s="25">
        <f t="shared" si="2"/>
        <v>1920.96</v>
      </c>
    </row>
    <row r="28" spans="1:16" ht="14.1" customHeight="1">
      <c r="A28" s="26">
        <v>221</v>
      </c>
      <c r="B28" s="43">
        <v>62367</v>
      </c>
      <c r="C28" s="31"/>
      <c r="D28" s="31"/>
      <c r="H28" s="25">
        <f t="shared" si="2"/>
        <v>99</v>
      </c>
      <c r="I28" s="25">
        <f t="shared" si="2"/>
        <v>99</v>
      </c>
      <c r="J28" s="25">
        <f t="shared" si="2"/>
        <v>99</v>
      </c>
      <c r="K28" s="25">
        <f t="shared" si="2"/>
        <v>99</v>
      </c>
    </row>
    <row r="29" spans="1:16" ht="14.1" customHeight="1">
      <c r="A29" s="26">
        <v>223</v>
      </c>
      <c r="B29" s="42">
        <v>2237900</v>
      </c>
      <c r="C29" s="31"/>
      <c r="D29" s="31"/>
      <c r="H29" s="25">
        <f t="shared" si="2"/>
        <v>3552.22</v>
      </c>
      <c r="I29" s="25">
        <f t="shared" si="2"/>
        <v>3552.22</v>
      </c>
      <c r="J29" s="25">
        <f t="shared" si="2"/>
        <v>3552.22</v>
      </c>
      <c r="K29" s="25">
        <f t="shared" si="2"/>
        <v>3552.22</v>
      </c>
    </row>
    <row r="30" spans="1:16" ht="14.1" customHeight="1">
      <c r="A30" s="26">
        <v>225</v>
      </c>
      <c r="B30" s="42">
        <v>556309</v>
      </c>
      <c r="C30" s="31"/>
      <c r="D30" s="31"/>
      <c r="H30" s="25">
        <f t="shared" si="2"/>
        <v>883.03</v>
      </c>
      <c r="I30" s="25">
        <f t="shared" si="2"/>
        <v>883.03</v>
      </c>
      <c r="J30" s="25">
        <f t="shared" si="2"/>
        <v>883.03</v>
      </c>
      <c r="K30" s="25">
        <f t="shared" si="2"/>
        <v>883.03</v>
      </c>
    </row>
    <row r="31" spans="1:16" ht="14.1" customHeight="1">
      <c r="A31" s="26">
        <v>226</v>
      </c>
      <c r="B31" s="42">
        <v>318264</v>
      </c>
      <c r="C31" s="31"/>
      <c r="D31" s="31"/>
      <c r="H31" s="25">
        <f t="shared" si="2"/>
        <v>505.18</v>
      </c>
      <c r="I31" s="25">
        <f t="shared" si="2"/>
        <v>505.18</v>
      </c>
      <c r="J31" s="25">
        <f t="shared" si="2"/>
        <v>505.18</v>
      </c>
      <c r="K31" s="25">
        <f t="shared" si="2"/>
        <v>505.18</v>
      </c>
    </row>
    <row r="32" spans="1:16" ht="14.1" customHeight="1">
      <c r="A32" s="26">
        <v>290</v>
      </c>
      <c r="B32" s="42">
        <v>1151200</v>
      </c>
      <c r="C32" s="31"/>
      <c r="D32" s="31"/>
      <c r="H32" s="25">
        <f t="shared" si="2"/>
        <v>1827.3</v>
      </c>
      <c r="I32" s="25">
        <f t="shared" si="2"/>
        <v>1827.3</v>
      </c>
      <c r="J32" s="25">
        <f t="shared" si="2"/>
        <v>1827.3</v>
      </c>
      <c r="K32" s="25">
        <f t="shared" si="2"/>
        <v>1827.3</v>
      </c>
    </row>
    <row r="33" spans="1:12" ht="14.1" customHeight="1">
      <c r="A33" s="26">
        <v>340</v>
      </c>
      <c r="B33" s="43">
        <v>111960</v>
      </c>
      <c r="C33" s="31"/>
      <c r="D33" s="31"/>
      <c r="H33" s="25">
        <f t="shared" si="2"/>
        <v>177.71</v>
      </c>
      <c r="I33" s="25">
        <f t="shared" si="2"/>
        <v>177.71</v>
      </c>
      <c r="J33" s="25">
        <f t="shared" si="2"/>
        <v>177.71</v>
      </c>
      <c r="K33" s="25">
        <f t="shared" si="2"/>
        <v>177.71</v>
      </c>
    </row>
    <row r="34" spans="1:12" ht="25.5">
      <c r="B34" s="34">
        <f>B24-B32+прил.3!G112</f>
        <v>8509700</v>
      </c>
      <c r="G34" s="39" t="s">
        <v>99</v>
      </c>
      <c r="H34" s="34">
        <f>SUM(H25:H33)</f>
        <v>15334.759999999998</v>
      </c>
      <c r="I34" s="34">
        <f>SUM(I25:I33)</f>
        <v>15334.759999999998</v>
      </c>
      <c r="J34" s="34">
        <f>SUM(J25:J33)</f>
        <v>15334.759999999998</v>
      </c>
      <c r="K34" s="34">
        <f>SUM(K25:K33)</f>
        <v>15334.759999999998</v>
      </c>
    </row>
    <row r="35" spans="1:12">
      <c r="C35" s="216"/>
    </row>
    <row r="36" spans="1:12" ht="51">
      <c r="G36" s="39" t="s">
        <v>333</v>
      </c>
      <c r="H36" s="34">
        <v>17640.77</v>
      </c>
      <c r="I36" s="34">
        <f>H36</f>
        <v>17640.77</v>
      </c>
      <c r="J36" s="34">
        <f>I36</f>
        <v>17640.77</v>
      </c>
      <c r="K36" s="34">
        <f>I36</f>
        <v>17640.77</v>
      </c>
      <c r="L36" s="34"/>
    </row>
    <row r="37" spans="1:12">
      <c r="G37" s="25" t="s">
        <v>334</v>
      </c>
      <c r="H37" s="25">
        <v>0.77554000000000001</v>
      </c>
      <c r="I37" s="25">
        <f>H37</f>
        <v>0.77554000000000001</v>
      </c>
      <c r="J37" s="34">
        <f>I37</f>
        <v>0.77554000000000001</v>
      </c>
      <c r="K37" s="25">
        <f>I37</f>
        <v>0.77554000000000001</v>
      </c>
    </row>
    <row r="38" spans="1:12">
      <c r="H38" s="34">
        <f>ROUND(H24*H36*H37,2)</f>
        <v>1176576.56</v>
      </c>
      <c r="I38" s="34">
        <f t="shared" ref="I38:K38" si="3">ROUND(I24*I36*I37,2)</f>
        <v>7401487.4199999999</v>
      </c>
      <c r="J38" s="34">
        <f t="shared" si="3"/>
        <v>13681.12</v>
      </c>
      <c r="K38" s="34">
        <f t="shared" si="3"/>
        <v>27362.25</v>
      </c>
      <c r="L38" s="34">
        <f>SUM(H38:K38)</f>
        <v>8619107.3499999996</v>
      </c>
    </row>
    <row r="39" spans="1:12">
      <c r="L39" s="34">
        <f>B34-L38</f>
        <v>-109407.34999999963</v>
      </c>
    </row>
  </sheetData>
  <mergeCells count="12">
    <mergeCell ref="H21:K21"/>
    <mergeCell ref="H22:I22"/>
    <mergeCell ref="J22:K22"/>
    <mergeCell ref="M22:N22"/>
    <mergeCell ref="O22:P22"/>
    <mergeCell ref="M13:N13"/>
    <mergeCell ref="O13:P13"/>
    <mergeCell ref="A2:D2"/>
    <mergeCell ref="G8:K8"/>
    <mergeCell ref="I10:J10"/>
    <mergeCell ref="L10:M10"/>
    <mergeCell ref="N10:O1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F108"/>
  <sheetViews>
    <sheetView view="pageBreakPreview" topLeftCell="D22" zoomScaleSheetLayoutView="100" workbookViewId="0">
      <selection activeCell="L30" sqref="L30"/>
    </sheetView>
  </sheetViews>
  <sheetFormatPr defaultColWidth="9.140625" defaultRowHeight="12.75"/>
  <cols>
    <col min="1" max="1" width="2" style="25" bestFit="1" customWidth="1"/>
    <col min="2" max="2" width="15.5703125" style="25" customWidth="1"/>
    <col min="3" max="3" width="15.28515625" style="39" customWidth="1"/>
    <col min="4" max="4" width="14.7109375" style="39" customWidth="1"/>
    <col min="5" max="5" width="14" style="39" customWidth="1"/>
    <col min="6" max="6" width="11.7109375" style="39" customWidth="1"/>
    <col min="7" max="7" width="12.140625" style="39" customWidth="1"/>
    <col min="8" max="8" width="12" style="39" customWidth="1"/>
    <col min="9" max="9" width="12.85546875" style="39" customWidth="1"/>
    <col min="10" max="10" width="10.7109375" style="39" customWidth="1"/>
    <col min="11" max="11" width="18.28515625" style="39" bestFit="1" customWidth="1"/>
    <col min="12" max="12" width="12.7109375" style="39" customWidth="1"/>
    <col min="13" max="13" width="8.85546875" style="25" customWidth="1"/>
    <col min="14" max="14" width="13.140625" style="25" customWidth="1"/>
    <col min="15" max="15" width="11.28515625" style="25" customWidth="1"/>
    <col min="16" max="16" width="9.140625" style="25"/>
    <col min="17" max="17" width="12.5703125" style="25" customWidth="1"/>
    <col min="18" max="18" width="9.140625" style="25"/>
    <col min="19" max="19" width="9.5703125" style="25" bestFit="1" customWidth="1"/>
    <col min="20" max="16384" width="9.140625" style="25"/>
  </cols>
  <sheetData>
    <row r="1" spans="2:22">
      <c r="H1" s="510" t="s">
        <v>111</v>
      </c>
      <c r="I1" s="510"/>
    </row>
    <row r="2" spans="2:22" s="45" customFormat="1" ht="35.25" customHeight="1">
      <c r="B2" s="507" t="s">
        <v>233</v>
      </c>
      <c r="C2" s="507"/>
      <c r="D2" s="507"/>
      <c r="E2" s="507"/>
      <c r="F2" s="507"/>
      <c r="G2" s="507"/>
      <c r="H2" s="507"/>
      <c r="I2" s="134"/>
      <c r="J2" s="47"/>
      <c r="K2" s="47"/>
      <c r="L2" s="47"/>
    </row>
    <row r="3" spans="2:22" s="48" customFormat="1" ht="20.25" customHeight="1">
      <c r="C3" s="49"/>
      <c r="D3" s="49"/>
      <c r="E3" s="49"/>
      <c r="F3" s="49"/>
      <c r="G3" s="49"/>
      <c r="H3" s="512"/>
      <c r="I3" s="512"/>
      <c r="J3" s="50"/>
      <c r="K3" s="50"/>
      <c r="L3" s="50"/>
    </row>
    <row r="4" spans="2:22" s="48" customFormat="1" ht="54.75" customHeight="1">
      <c r="B4" s="506" t="s">
        <v>112</v>
      </c>
      <c r="C4" s="506"/>
      <c r="D4" s="506"/>
      <c r="E4" s="506"/>
      <c r="F4" s="506"/>
      <c r="G4" s="506"/>
      <c r="H4" s="506"/>
      <c r="I4" s="133"/>
      <c r="J4" s="50"/>
      <c r="K4" s="67"/>
      <c r="L4" s="50"/>
    </row>
    <row r="5" spans="2:22" s="48" customFormat="1" ht="16.5" thickBot="1">
      <c r="B5" s="51"/>
      <c r="C5" s="51"/>
      <c r="D5" s="51"/>
      <c r="E5" s="51"/>
      <c r="F5" s="51"/>
      <c r="G5" s="51"/>
      <c r="H5" s="51"/>
      <c r="I5" s="133"/>
      <c r="J5" s="50"/>
      <c r="K5" s="50"/>
      <c r="L5" s="50"/>
    </row>
    <row r="6" spans="2:22" s="48" customFormat="1" ht="38.25">
      <c r="B6" s="52" t="s">
        <v>113</v>
      </c>
      <c r="C6" s="53" t="s">
        <v>114</v>
      </c>
      <c r="D6" s="53" t="s">
        <v>115</v>
      </c>
      <c r="E6" s="53" t="s">
        <v>116</v>
      </c>
      <c r="F6" s="53" t="s">
        <v>117</v>
      </c>
      <c r="G6" s="53" t="s">
        <v>93</v>
      </c>
      <c r="H6" s="54" t="s">
        <v>118</v>
      </c>
      <c r="I6" s="50"/>
      <c r="J6" s="50"/>
      <c r="T6" s="55"/>
      <c r="U6" s="55"/>
      <c r="V6" s="55"/>
    </row>
    <row r="7" spans="2:22" s="48" customFormat="1">
      <c r="B7" s="56">
        <f>M12</f>
        <v>47</v>
      </c>
      <c r="C7" s="57">
        <f>P12</f>
        <v>19184.72</v>
      </c>
      <c r="D7" s="57">
        <f>Q12</f>
        <v>1.2938444060697409</v>
      </c>
      <c r="E7" s="57">
        <v>3</v>
      </c>
      <c r="F7" s="57">
        <v>1</v>
      </c>
      <c r="G7" s="380">
        <f t="shared" ref="G7:G12" si="0">ROUND((B7*C7*D7*E7*F7),2)</f>
        <v>3499908.01</v>
      </c>
      <c r="H7" s="59">
        <f t="shared" ref="H7:H12" si="1">ROUND(G7*30.2%,2)</f>
        <v>1056972.22</v>
      </c>
      <c r="I7" s="50"/>
      <c r="J7" s="50"/>
      <c r="T7" s="55"/>
      <c r="U7" s="55"/>
      <c r="V7" s="55"/>
    </row>
    <row r="8" spans="2:22" s="48" customFormat="1">
      <c r="B8" s="56">
        <f>M16</f>
        <v>47</v>
      </c>
      <c r="C8" s="57">
        <f>P16</f>
        <v>19184.72</v>
      </c>
      <c r="D8" s="57">
        <f>Q16</f>
        <v>1.2938444060697409</v>
      </c>
      <c r="E8" s="57">
        <v>1</v>
      </c>
      <c r="F8" s="57">
        <v>1</v>
      </c>
      <c r="G8" s="377">
        <f t="shared" si="0"/>
        <v>1166636</v>
      </c>
      <c r="H8" s="59">
        <f t="shared" si="1"/>
        <v>352324.07</v>
      </c>
      <c r="I8" s="50"/>
      <c r="J8" s="50"/>
      <c r="T8" s="55"/>
      <c r="U8" s="55"/>
      <c r="V8" s="55"/>
    </row>
    <row r="9" spans="2:22" s="48" customFormat="1">
      <c r="B9" s="56">
        <f>M20</f>
        <v>47</v>
      </c>
      <c r="C9" s="57">
        <f>P20</f>
        <v>19184.72</v>
      </c>
      <c r="D9" s="57">
        <f>Q20</f>
        <v>1.2938444060697409</v>
      </c>
      <c r="E9" s="57">
        <v>1</v>
      </c>
      <c r="F9" s="57">
        <v>1</v>
      </c>
      <c r="G9" s="58">
        <f t="shared" si="0"/>
        <v>1166636</v>
      </c>
      <c r="H9" s="59">
        <f t="shared" si="1"/>
        <v>352324.07</v>
      </c>
      <c r="I9" s="50"/>
      <c r="J9" s="505" t="s">
        <v>119</v>
      </c>
      <c r="K9" s="505"/>
      <c r="T9" s="55"/>
      <c r="U9" s="55"/>
      <c r="V9" s="55"/>
    </row>
    <row r="10" spans="2:22" s="48" customFormat="1">
      <c r="B10" s="56">
        <f>M24</f>
        <v>47</v>
      </c>
      <c r="C10" s="57">
        <f>P24</f>
        <v>19184.72</v>
      </c>
      <c r="D10" s="57">
        <f>Q24</f>
        <v>1.2938444060697409</v>
      </c>
      <c r="E10" s="57">
        <v>3</v>
      </c>
      <c r="F10" s="57">
        <v>1</v>
      </c>
      <c r="G10" s="58">
        <f t="shared" si="0"/>
        <v>3499908.01</v>
      </c>
      <c r="H10" s="59">
        <f t="shared" si="1"/>
        <v>1056972.22</v>
      </c>
      <c r="I10" s="50"/>
      <c r="J10" s="60"/>
      <c r="K10" s="57"/>
      <c r="L10" s="60" t="s">
        <v>120</v>
      </c>
      <c r="M10" s="60" t="s">
        <v>121</v>
      </c>
      <c r="N10" s="60" t="s">
        <v>122</v>
      </c>
      <c r="O10" s="60" t="s">
        <v>123</v>
      </c>
      <c r="P10" s="60"/>
      <c r="Q10" s="60"/>
      <c r="T10" s="55"/>
      <c r="U10" s="55"/>
      <c r="V10" s="55"/>
    </row>
    <row r="11" spans="2:22" s="48" customFormat="1">
      <c r="B11" s="56">
        <f>M28</f>
        <v>47</v>
      </c>
      <c r="C11" s="57">
        <f>P28</f>
        <v>19217.939999999999</v>
      </c>
      <c r="D11" s="57">
        <f>Q28</f>
        <v>1.3169689732877858</v>
      </c>
      <c r="E11" s="57">
        <v>3</v>
      </c>
      <c r="F11" s="57">
        <v>1</v>
      </c>
      <c r="G11" s="306">
        <f t="shared" si="0"/>
        <v>3568629.73</v>
      </c>
      <c r="H11" s="59">
        <f t="shared" si="1"/>
        <v>1077726.18</v>
      </c>
      <c r="I11" s="50"/>
      <c r="J11" s="260">
        <v>43101</v>
      </c>
      <c r="K11" s="57" t="s">
        <v>124</v>
      </c>
      <c r="L11" s="66">
        <v>1921341</v>
      </c>
      <c r="M11" s="66">
        <v>100.25</v>
      </c>
      <c r="N11" s="60">
        <f>L11-O11</f>
        <v>1501598.38</v>
      </c>
      <c r="O11" s="66">
        <v>419742.62</v>
      </c>
      <c r="P11" s="190"/>
      <c r="Q11" s="60"/>
      <c r="T11" s="55"/>
      <c r="U11" s="55"/>
      <c r="V11" s="55"/>
    </row>
    <row r="12" spans="2:22" s="48" customFormat="1" ht="13.5" thickBot="1">
      <c r="B12" s="61">
        <f>M31</f>
        <v>47</v>
      </c>
      <c r="C12" s="63">
        <f>P31</f>
        <v>19217.939999999999</v>
      </c>
      <c r="D12" s="63">
        <f>Q31</f>
        <v>1.3169689732877858</v>
      </c>
      <c r="E12" s="63">
        <v>1</v>
      </c>
      <c r="F12" s="63">
        <v>1</v>
      </c>
      <c r="G12" s="307">
        <f t="shared" si="0"/>
        <v>1189543.24</v>
      </c>
      <c r="H12" s="308">
        <f t="shared" si="1"/>
        <v>359242.06</v>
      </c>
      <c r="I12" s="50"/>
      <c r="J12" s="60"/>
      <c r="K12" s="60" t="s">
        <v>234</v>
      </c>
      <c r="L12" s="60">
        <f>N12+O12</f>
        <v>1166636.1599999999</v>
      </c>
      <c r="M12" s="66">
        <v>47</v>
      </c>
      <c r="N12" s="66">
        <v>901681.96</v>
      </c>
      <c r="O12" s="66">
        <v>264954.2</v>
      </c>
      <c r="P12" s="60">
        <f>IF(M12=0,0,ROUND(N12/M12,2))</f>
        <v>19184.72</v>
      </c>
      <c r="Q12" s="60">
        <f>IF(N12=0,0,O12/N12+1)</f>
        <v>1.2938444060697409</v>
      </c>
      <c r="T12" s="55"/>
      <c r="U12" s="55"/>
      <c r="V12" s="55"/>
    </row>
    <row r="13" spans="2:22" s="48" customFormat="1" ht="13.5" thickBot="1">
      <c r="B13" s="50"/>
      <c r="C13" s="50"/>
      <c r="D13" s="50"/>
      <c r="E13" s="50"/>
      <c r="F13" s="50"/>
      <c r="G13" s="263">
        <f>SUM(G7:G12)</f>
        <v>14091260.99</v>
      </c>
      <c r="H13" s="264">
        <f>SUM(H7:H12)</f>
        <v>4255560.8199999994</v>
      </c>
      <c r="I13" s="50"/>
      <c r="J13" s="60"/>
      <c r="K13" s="60" t="s">
        <v>125</v>
      </c>
      <c r="L13" s="60">
        <f>L11-L12</f>
        <v>754704.84000000008</v>
      </c>
      <c r="M13" s="60">
        <f>M11-M12</f>
        <v>53.25</v>
      </c>
      <c r="N13" s="60">
        <f>N11-N12</f>
        <v>599916.41999999993</v>
      </c>
      <c r="O13" s="60">
        <f>O11-O12</f>
        <v>154788.41999999998</v>
      </c>
      <c r="P13" s="60">
        <f>IF(M13=0,0,ROUND(N13/M13,2))</f>
        <v>11266.04</v>
      </c>
      <c r="Q13" s="60">
        <f>IF(N13=0,0,O13/N13+1)</f>
        <v>1.2580166417181913</v>
      </c>
      <c r="T13" s="55"/>
      <c r="U13" s="55"/>
      <c r="V13" s="55"/>
    </row>
    <row r="14" spans="2:22" s="48" customFormat="1">
      <c r="C14" s="50"/>
      <c r="D14" s="50"/>
      <c r="E14" s="50"/>
      <c r="F14" s="50"/>
      <c r="G14" s="50"/>
      <c r="H14" s="67"/>
      <c r="I14" s="50"/>
      <c r="J14" s="57"/>
      <c r="K14" s="60"/>
      <c r="L14" s="60"/>
      <c r="M14" s="60"/>
      <c r="N14" s="60"/>
      <c r="O14" s="60"/>
      <c r="P14" s="60"/>
      <c r="Q14" s="60"/>
      <c r="T14" s="55"/>
      <c r="U14" s="55"/>
      <c r="V14" s="55"/>
    </row>
    <row r="15" spans="2:22" s="48" customFormat="1" ht="13.5" thickBot="1">
      <c r="C15" s="50"/>
      <c r="D15" s="50"/>
      <c r="E15" s="50"/>
      <c r="F15" s="50"/>
      <c r="G15" s="50"/>
      <c r="H15" s="50"/>
      <c r="I15" s="50"/>
      <c r="J15" s="260">
        <v>43191</v>
      </c>
      <c r="K15" s="57" t="s">
        <v>124</v>
      </c>
      <c r="L15" s="66">
        <v>1921341</v>
      </c>
      <c r="M15" s="66">
        <v>100.25</v>
      </c>
      <c r="N15" s="60">
        <f>L15-O15</f>
        <v>1504391.75</v>
      </c>
      <c r="O15" s="66">
        <v>416949.25</v>
      </c>
      <c r="P15" s="190"/>
      <c r="Q15" s="60"/>
      <c r="R15" s="48">
        <f>L15-L11</f>
        <v>0</v>
      </c>
      <c r="T15" s="55"/>
      <c r="U15" s="55"/>
      <c r="V15" s="55"/>
    </row>
    <row r="16" spans="2:22" s="48" customFormat="1" ht="101.25">
      <c r="B16" s="68"/>
      <c r="C16" s="69" t="s">
        <v>126</v>
      </c>
      <c r="D16" s="53" t="s">
        <v>127</v>
      </c>
      <c r="E16" s="53"/>
      <c r="F16" s="70" t="s">
        <v>128</v>
      </c>
      <c r="G16" s="50"/>
      <c r="H16" s="50"/>
      <c r="I16" s="67"/>
      <c r="J16" s="60"/>
      <c r="K16" s="60" t="s">
        <v>234</v>
      </c>
      <c r="L16" s="60">
        <f>N16+O16</f>
        <v>1166636.1599999999</v>
      </c>
      <c r="M16" s="66">
        <v>47</v>
      </c>
      <c r="N16" s="66">
        <v>901681.96</v>
      </c>
      <c r="O16" s="66">
        <v>264954.2</v>
      </c>
      <c r="P16" s="60">
        <f>IF(M16=0,0,ROUND(N16/M16,2))</f>
        <v>19184.72</v>
      </c>
      <c r="Q16" s="60">
        <f>IF(N16=0,0,O16/N16+1)</f>
        <v>1.2938444060697409</v>
      </c>
      <c r="T16" s="55"/>
      <c r="U16" s="55"/>
      <c r="V16" s="55"/>
    </row>
    <row r="17" spans="2:84" s="48" customFormat="1">
      <c r="B17" s="71" t="s">
        <v>129</v>
      </c>
      <c r="C17" s="57">
        <f>ROUND(F17/D17,2)</f>
        <v>317.83</v>
      </c>
      <c r="D17" s="57">
        <f>'проверка 2018'!I12+'проверка 2018'!J12</f>
        <v>630</v>
      </c>
      <c r="E17" s="57"/>
      <c r="F17" s="59">
        <f>'проверка 2018'!B18</f>
        <v>200234</v>
      </c>
      <c r="G17" s="50"/>
      <c r="H17" s="50"/>
      <c r="I17" s="67"/>
      <c r="J17" s="60"/>
      <c r="K17" s="60" t="s">
        <v>125</v>
      </c>
      <c r="L17" s="60">
        <f>L15-L16</f>
        <v>754704.84000000008</v>
      </c>
      <c r="M17" s="60">
        <f>M15-M16</f>
        <v>53.25</v>
      </c>
      <c r="N17" s="60">
        <f>N15-N16</f>
        <v>602709.79</v>
      </c>
      <c r="O17" s="60">
        <f>O15-O16</f>
        <v>151995.04999999999</v>
      </c>
      <c r="P17" s="60">
        <f>IF(M17=0,0,ROUND(N17/M17,2))</f>
        <v>11318.49</v>
      </c>
      <c r="Q17" s="60">
        <f>IF(N17=0,0,O17/N17+1)</f>
        <v>1.2521861309072149</v>
      </c>
      <c r="T17" s="55"/>
      <c r="U17" s="55"/>
      <c r="V17" s="55"/>
    </row>
    <row r="18" spans="2:84" s="48" customFormat="1" ht="46.5" customHeight="1" thickBot="1">
      <c r="B18" s="304" t="s">
        <v>130</v>
      </c>
      <c r="C18" s="64">
        <v>37.35</v>
      </c>
      <c r="D18" s="64">
        <f>ROUND(F18/C18,0)</f>
        <v>645</v>
      </c>
      <c r="E18" s="64"/>
      <c r="F18" s="65">
        <f>'проверка 2018'!B17</f>
        <v>24077</v>
      </c>
      <c r="G18" s="50"/>
      <c r="H18" s="50"/>
      <c r="I18" s="50"/>
      <c r="J18" s="57"/>
      <c r="K18" s="57"/>
      <c r="L18" s="57"/>
      <c r="M18" s="60"/>
      <c r="N18" s="60"/>
      <c r="O18" s="60"/>
      <c r="P18" s="60"/>
      <c r="Q18" s="60"/>
      <c r="T18" s="55"/>
      <c r="U18" s="55"/>
      <c r="V18" s="55"/>
    </row>
    <row r="19" spans="2:84" s="48" customFormat="1">
      <c r="C19" s="50"/>
      <c r="D19" s="50"/>
      <c r="E19" s="50"/>
      <c r="F19" s="50"/>
      <c r="G19" s="50"/>
      <c r="H19" s="50"/>
      <c r="I19" s="50"/>
      <c r="J19" s="260">
        <v>43221</v>
      </c>
      <c r="K19" s="57" t="s">
        <v>124</v>
      </c>
      <c r="L19" s="66">
        <v>1921341</v>
      </c>
      <c r="M19" s="66">
        <v>100.25</v>
      </c>
      <c r="N19" s="60">
        <f>L19-O19</f>
        <v>1557633.16</v>
      </c>
      <c r="O19" s="66">
        <v>363707.84</v>
      </c>
      <c r="P19" s="190"/>
      <c r="Q19" s="60"/>
      <c r="T19" s="55"/>
      <c r="U19" s="55"/>
      <c r="V19" s="55"/>
    </row>
    <row r="20" spans="2:84" s="48" customFormat="1">
      <c r="C20" s="50"/>
      <c r="D20" s="50"/>
      <c r="E20" s="50"/>
      <c r="F20" s="50"/>
      <c r="G20" s="50"/>
      <c r="H20" s="50"/>
      <c r="I20" s="50"/>
      <c r="J20" s="60"/>
      <c r="K20" s="60" t="s">
        <v>234</v>
      </c>
      <c r="L20" s="60">
        <f>N20+O20</f>
        <v>1166636.1599999999</v>
      </c>
      <c r="M20" s="66">
        <v>47</v>
      </c>
      <c r="N20" s="66">
        <v>901681.96</v>
      </c>
      <c r="O20" s="66">
        <v>264954.2</v>
      </c>
      <c r="P20" s="60">
        <f>IF(M20=0,0,ROUND(N20/M20,2))</f>
        <v>19184.72</v>
      </c>
      <c r="Q20" s="60">
        <f>IF(N20=0,0,O20/N20+1)</f>
        <v>1.2938444060697409</v>
      </c>
      <c r="T20" s="55"/>
      <c r="U20" s="55"/>
      <c r="V20" s="55"/>
    </row>
    <row r="21" spans="2:84" s="48" customFormat="1" ht="50.25" customHeight="1" thickBot="1">
      <c r="B21" s="496" t="s">
        <v>300</v>
      </c>
      <c r="C21" s="496"/>
      <c r="D21" s="496"/>
      <c r="E21" s="496"/>
      <c r="F21" s="496"/>
      <c r="G21" s="496"/>
      <c r="H21" s="496"/>
      <c r="I21" s="50"/>
      <c r="J21" s="60"/>
      <c r="K21" s="60" t="s">
        <v>125</v>
      </c>
      <c r="L21" s="60">
        <f>L19-L20</f>
        <v>754704.84000000008</v>
      </c>
      <c r="M21" s="60">
        <f>M19-M20</f>
        <v>53.25</v>
      </c>
      <c r="N21" s="60">
        <f>N19-N20</f>
        <v>655951.19999999995</v>
      </c>
      <c r="O21" s="60">
        <f>O19-O20</f>
        <v>98753.640000000014</v>
      </c>
      <c r="P21" s="60">
        <f>IF(M21=0,0,ROUND(N21/M21,2))</f>
        <v>12318.33</v>
      </c>
      <c r="Q21" s="60">
        <f>IF(N21=0,0,O21/N21+1)</f>
        <v>1.1505502848382623</v>
      </c>
      <c r="T21" s="55"/>
      <c r="U21" s="55"/>
      <c r="V21" s="55"/>
    </row>
    <row r="22" spans="2:84" s="48" customFormat="1" ht="15">
      <c r="B22" s="299" t="s">
        <v>91</v>
      </c>
      <c r="C22" s="497" t="s">
        <v>296</v>
      </c>
      <c r="D22" s="498"/>
      <c r="E22" s="499" t="s">
        <v>297</v>
      </c>
      <c r="F22" s="500"/>
      <c r="G22" s="50"/>
      <c r="H22" s="50"/>
      <c r="I22" s="50"/>
      <c r="J22" s="57"/>
      <c r="K22" s="57"/>
      <c r="L22" s="57"/>
      <c r="M22" s="60"/>
      <c r="N22" s="60"/>
      <c r="O22" s="60"/>
      <c r="P22" s="60"/>
      <c r="Q22" s="60"/>
      <c r="T22" s="55"/>
      <c r="U22" s="55"/>
      <c r="V22" s="55"/>
    </row>
    <row r="23" spans="2:84" s="48" customFormat="1">
      <c r="B23" s="300">
        <v>226</v>
      </c>
      <c r="C23" s="501">
        <f>IF(E23=0,0,ROUND(E23/('проверка 2018'!I12+'проверка 2018'!J12),2))</f>
        <v>0</v>
      </c>
      <c r="D23" s="502"/>
      <c r="E23" s="503"/>
      <c r="F23" s="504"/>
      <c r="G23" s="50"/>
      <c r="H23" s="50"/>
      <c r="I23" s="50"/>
      <c r="J23" s="260">
        <v>43252</v>
      </c>
      <c r="K23" s="57" t="s">
        <v>124</v>
      </c>
      <c r="L23" s="66">
        <v>1967366</v>
      </c>
      <c r="M23" s="66">
        <v>100.25</v>
      </c>
      <c r="N23" s="60">
        <f>L23-O23</f>
        <v>1557633.16</v>
      </c>
      <c r="O23" s="66">
        <v>409732.84</v>
      </c>
      <c r="P23" s="190"/>
      <c r="Q23" s="60"/>
      <c r="T23" s="55"/>
      <c r="U23" s="55"/>
      <c r="V23" s="55"/>
    </row>
    <row r="24" spans="2:84" s="48" customFormat="1" ht="13.5" thickBot="1">
      <c r="B24" s="301">
        <v>340</v>
      </c>
      <c r="C24" s="492">
        <f>IF(E24=0,0,ROUND(E24/('проверка 2018'!I12+'проверка 2018'!J12),2))</f>
        <v>0</v>
      </c>
      <c r="D24" s="493"/>
      <c r="E24" s="494"/>
      <c r="F24" s="495"/>
      <c r="G24" s="50"/>
      <c r="H24" s="50"/>
      <c r="I24" s="50"/>
      <c r="J24" s="60"/>
      <c r="K24" s="60" t="s">
        <v>234</v>
      </c>
      <c r="L24" s="60">
        <f>N24+O24</f>
        <v>1166636.1599999999</v>
      </c>
      <c r="M24" s="66">
        <v>47</v>
      </c>
      <c r="N24" s="66">
        <v>901681.96</v>
      </c>
      <c r="O24" s="66">
        <v>264954.2</v>
      </c>
      <c r="P24" s="60">
        <f>IF(M24=0,0,ROUND(N24/M24,2))</f>
        <v>19184.72</v>
      </c>
      <c r="Q24" s="60">
        <f>IF(N24=0,0,O24/N24+1)</f>
        <v>1.2938444060697409</v>
      </c>
      <c r="T24" s="55"/>
      <c r="U24" s="55"/>
      <c r="V24" s="55"/>
    </row>
    <row r="25" spans="2:84" s="48" customFormat="1">
      <c r="C25" s="50"/>
      <c r="D25" s="50"/>
      <c r="E25" s="50"/>
      <c r="F25" s="50"/>
      <c r="G25" s="50"/>
      <c r="H25" s="50"/>
      <c r="I25" s="50"/>
      <c r="J25" s="60"/>
      <c r="K25" s="60" t="s">
        <v>125</v>
      </c>
      <c r="L25" s="60">
        <f>L23-L24</f>
        <v>800729.84000000008</v>
      </c>
      <c r="M25" s="60">
        <f>M23-M24</f>
        <v>53.25</v>
      </c>
      <c r="N25" s="60">
        <f>N23-N24</f>
        <v>655951.19999999995</v>
      </c>
      <c r="O25" s="60">
        <f>O23-O24</f>
        <v>144778.64000000001</v>
      </c>
      <c r="P25" s="60">
        <f>IF(M25=0,0,ROUND(N25/M25,2))</f>
        <v>12318.33</v>
      </c>
      <c r="Q25" s="60">
        <f>IF(N25=0,0,O25/N25+1)</f>
        <v>1.2207155654262085</v>
      </c>
      <c r="T25" s="55"/>
      <c r="U25" s="55"/>
      <c r="V25" s="55"/>
    </row>
    <row r="26" spans="2:84" s="48" customFormat="1">
      <c r="B26" s="73"/>
      <c r="H26" s="73"/>
      <c r="I26" s="50"/>
      <c r="J26" s="76"/>
      <c r="K26" s="76"/>
      <c r="L26" s="76"/>
      <c r="M26" s="76"/>
      <c r="N26" s="76"/>
      <c r="O26" s="76"/>
      <c r="P26" s="76"/>
      <c r="Q26" s="76"/>
      <c r="T26" s="55"/>
      <c r="U26" s="55"/>
      <c r="V26" s="55"/>
    </row>
    <row r="27" spans="2:84" s="48" customFormat="1">
      <c r="B27" s="73"/>
      <c r="C27" s="73"/>
      <c r="D27" s="73"/>
      <c r="E27" s="73"/>
      <c r="F27" s="73"/>
      <c r="G27" s="73"/>
      <c r="H27" s="73"/>
      <c r="I27" s="75"/>
      <c r="J27" s="260">
        <v>43344</v>
      </c>
      <c r="K27" s="57" t="s">
        <v>124</v>
      </c>
      <c r="L27" s="66">
        <v>2060429</v>
      </c>
      <c r="M27" s="66">
        <v>101.25</v>
      </c>
      <c r="N27" s="60">
        <f>L27-O27</f>
        <v>1569389.04</v>
      </c>
      <c r="O27" s="66">
        <v>491039.96</v>
      </c>
      <c r="P27" s="190"/>
      <c r="Q27" s="60"/>
      <c r="T27" s="74"/>
      <c r="U27" s="55"/>
      <c r="V27" s="74"/>
    </row>
    <row r="28" spans="2:84" s="48" customFormat="1" ht="49.5" customHeight="1">
      <c r="B28" s="506" t="s">
        <v>131</v>
      </c>
      <c r="C28" s="506"/>
      <c r="D28" s="506"/>
      <c r="E28" s="506"/>
      <c r="F28" s="506"/>
      <c r="G28" s="506"/>
      <c r="H28" s="506"/>
      <c r="I28" s="75"/>
      <c r="J28" s="60"/>
      <c r="K28" s="60" t="s">
        <v>234</v>
      </c>
      <c r="L28" s="60">
        <f>N28+O28</f>
        <v>1189542.98</v>
      </c>
      <c r="M28" s="66">
        <v>47</v>
      </c>
      <c r="N28" s="66">
        <v>903242.98</v>
      </c>
      <c r="O28" s="66">
        <v>286300</v>
      </c>
      <c r="P28" s="60">
        <f>IF(M28=0,0,ROUND(N28/M28,2))</f>
        <v>19217.939999999999</v>
      </c>
      <c r="Q28" s="60">
        <f>IF(N28=0,0,O28/N28+1)</f>
        <v>1.3169689732877858</v>
      </c>
      <c r="T28" s="55"/>
      <c r="U28" s="55"/>
      <c r="V28" s="55"/>
    </row>
    <row r="29" spans="2:84" s="48" customFormat="1" ht="13.5" thickBot="1">
      <c r="B29" s="25"/>
      <c r="C29" s="39"/>
      <c r="D29" s="39"/>
      <c r="E29" s="39"/>
      <c r="F29" s="39"/>
      <c r="G29" s="39"/>
      <c r="H29" s="39"/>
      <c r="I29" s="75"/>
      <c r="J29" s="60"/>
      <c r="K29" s="60" t="s">
        <v>125</v>
      </c>
      <c r="L29" s="60">
        <f>L27-L28</f>
        <v>870886.02</v>
      </c>
      <c r="M29" s="60">
        <f>M27-M28</f>
        <v>54.25</v>
      </c>
      <c r="N29" s="60">
        <f>N27-N28</f>
        <v>666146.06000000006</v>
      </c>
      <c r="O29" s="60">
        <f>O27-O28</f>
        <v>204739.96000000002</v>
      </c>
      <c r="P29" s="60">
        <f>IF(M29=0,0,ROUND(N29/M29,2))</f>
        <v>12279.19</v>
      </c>
      <c r="Q29" s="60">
        <f>IF(N29=0,0,O29/N29+1)</f>
        <v>1.3073499526515251</v>
      </c>
      <c r="T29" s="74"/>
      <c r="U29" s="55"/>
      <c r="V29" s="74"/>
    </row>
    <row r="30" spans="2:84" s="48" customFormat="1" ht="38.25">
      <c r="B30" s="52" t="s">
        <v>113</v>
      </c>
      <c r="C30" s="53" t="s">
        <v>114</v>
      </c>
      <c r="D30" s="53" t="s">
        <v>115</v>
      </c>
      <c r="E30" s="53" t="s">
        <v>116</v>
      </c>
      <c r="F30" s="53" t="s">
        <v>117</v>
      </c>
      <c r="G30" s="53" t="s">
        <v>93</v>
      </c>
      <c r="H30" s="54" t="s">
        <v>118</v>
      </c>
      <c r="I30" s="75"/>
      <c r="J30" s="260">
        <v>43435</v>
      </c>
      <c r="K30" s="57" t="s">
        <v>124</v>
      </c>
      <c r="L30" s="66">
        <v>2060428</v>
      </c>
      <c r="M30" s="66">
        <v>101.25</v>
      </c>
      <c r="N30" s="60">
        <f>L30-O30</f>
        <v>1569389.04</v>
      </c>
      <c r="O30" s="66">
        <f>491038.96</f>
        <v>491038.96</v>
      </c>
      <c r="P30" s="190"/>
      <c r="Q30" s="60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</row>
    <row r="31" spans="2:84" s="73" customFormat="1">
      <c r="B31" s="56"/>
      <c r="C31" s="57"/>
      <c r="D31" s="57"/>
      <c r="E31" s="57"/>
      <c r="F31" s="57"/>
      <c r="G31" s="246"/>
      <c r="H31" s="247">
        <f>ROUND(G31*30.2%,2)</f>
        <v>0</v>
      </c>
      <c r="I31" s="75"/>
      <c r="J31" s="60"/>
      <c r="K31" s="60" t="s">
        <v>234</v>
      </c>
      <c r="L31" s="60">
        <f>N31+O31</f>
        <v>1189542.98</v>
      </c>
      <c r="M31" s="66">
        <v>47</v>
      </c>
      <c r="N31" s="66">
        <v>903242.98</v>
      </c>
      <c r="O31" s="66">
        <v>286300</v>
      </c>
      <c r="P31" s="60">
        <f>IF(M31=0,0,ROUND(N31/M31,2))</f>
        <v>19217.939999999999</v>
      </c>
      <c r="Q31" s="60">
        <f>IF(N31=0,0,O31/N31+1)</f>
        <v>1.3169689732877858</v>
      </c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</row>
    <row r="32" spans="2:84" s="73" customFormat="1">
      <c r="B32" s="56"/>
      <c r="C32" s="57"/>
      <c r="D32" s="57"/>
      <c r="E32" s="57"/>
      <c r="F32" s="57"/>
      <c r="G32" s="246"/>
      <c r="H32" s="247">
        <f>ROUND(G32*30.2%,2)</f>
        <v>0</v>
      </c>
      <c r="I32" s="39"/>
      <c r="J32" s="60"/>
      <c r="K32" s="60" t="s">
        <v>125</v>
      </c>
      <c r="L32" s="60">
        <f>L30-L31</f>
        <v>870885.02</v>
      </c>
      <c r="M32" s="60">
        <f>M30-M31</f>
        <v>54.25</v>
      </c>
      <c r="N32" s="60">
        <f>N30-N31</f>
        <v>666146.06000000006</v>
      </c>
      <c r="O32" s="60">
        <f>O30-O31</f>
        <v>204738.96000000002</v>
      </c>
      <c r="P32" s="60">
        <f>IF(M32=0,0,ROUND(N32/M32,2))</f>
        <v>12279.19</v>
      </c>
      <c r="Q32" s="60">
        <f>IF(N32=0,0,O32/N32+1)</f>
        <v>1.3073484514792446</v>
      </c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</row>
    <row r="33" spans="2:84" s="73" customFormat="1" ht="13.5" thickBot="1">
      <c r="B33" s="61"/>
      <c r="C33" s="62"/>
      <c r="D33" s="63"/>
      <c r="E33" s="64"/>
      <c r="F33" s="64"/>
      <c r="G33" s="248"/>
      <c r="H33" s="249">
        <f>ROUND(G33*30.2%,2)</f>
        <v>0</v>
      </c>
      <c r="I33" s="39"/>
      <c r="J33" s="135"/>
      <c r="K33" s="13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</row>
    <row r="34" spans="2:84" s="73" customFormat="1" ht="13.5" thickBot="1">
      <c r="B34" s="50"/>
      <c r="C34" s="50"/>
      <c r="D34" s="50"/>
      <c r="E34" s="50"/>
      <c r="F34" s="50"/>
      <c r="G34" s="250">
        <f>SUM(G31:G33)</f>
        <v>0</v>
      </c>
      <c r="H34" s="251">
        <f>SUM(H31:H33)</f>
        <v>0</v>
      </c>
      <c r="I34" s="39"/>
      <c r="J34" s="135"/>
      <c r="K34" s="13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</row>
    <row r="35" spans="2:84" s="73" customFormat="1">
      <c r="B35" s="302"/>
      <c r="C35" s="302"/>
      <c r="D35" s="302"/>
      <c r="E35" s="302"/>
      <c r="F35" s="302"/>
      <c r="G35" s="303"/>
      <c r="H35" s="303"/>
      <c r="I35" s="126"/>
      <c r="J35" s="135"/>
      <c r="K35" s="13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</row>
    <row r="36" spans="2:84" s="73" customFormat="1" ht="13.5" thickBot="1">
      <c r="B36" s="302"/>
      <c r="C36" s="302"/>
      <c r="D36" s="302"/>
      <c r="E36" s="302"/>
      <c r="F36" s="302"/>
      <c r="G36" s="303"/>
      <c r="H36" s="303"/>
      <c r="I36" s="126"/>
      <c r="J36" s="135"/>
      <c r="K36" s="13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</row>
    <row r="37" spans="2:84" s="73" customFormat="1" ht="89.25">
      <c r="B37" s="52" t="s">
        <v>138</v>
      </c>
      <c r="C37" s="53" t="s">
        <v>139</v>
      </c>
      <c r="D37" s="53" t="s">
        <v>116</v>
      </c>
      <c r="E37" s="54" t="s">
        <v>140</v>
      </c>
      <c r="F37" s="302"/>
      <c r="G37" s="303"/>
      <c r="H37" s="303"/>
      <c r="I37" s="126"/>
      <c r="J37" s="135"/>
      <c r="K37" s="13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</row>
    <row r="38" spans="2:84" s="73" customFormat="1">
      <c r="B38" s="56">
        <v>50</v>
      </c>
      <c r="C38" s="57">
        <v>2</v>
      </c>
      <c r="D38" s="57">
        <v>5</v>
      </c>
      <c r="E38" s="381">
        <f>B38*C38*D38</f>
        <v>500</v>
      </c>
      <c r="F38" s="302"/>
      <c r="G38" s="303"/>
      <c r="H38" s="303"/>
      <c r="I38" s="126"/>
      <c r="J38" s="135"/>
      <c r="K38" s="13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</row>
    <row r="39" spans="2:84" s="73" customFormat="1" ht="13.5" thickBot="1">
      <c r="B39" s="72">
        <v>50</v>
      </c>
      <c r="C39" s="64">
        <v>8</v>
      </c>
      <c r="D39" s="64">
        <v>12</v>
      </c>
      <c r="E39" s="379">
        <f>B39*C39*D39</f>
        <v>4800</v>
      </c>
      <c r="F39" s="302"/>
      <c r="G39" s="303"/>
      <c r="H39" s="303"/>
      <c r="I39" s="126"/>
      <c r="J39" s="508" t="s">
        <v>132</v>
      </c>
      <c r="K39" s="509"/>
      <c r="L39" s="60" t="s">
        <v>120</v>
      </c>
      <c r="M39" s="60" t="s">
        <v>121</v>
      </c>
      <c r="N39" s="60" t="s">
        <v>122</v>
      </c>
      <c r="O39" s="60" t="s">
        <v>123</v>
      </c>
      <c r="P39" s="261"/>
      <c r="Q39" s="262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</row>
    <row r="40" spans="2:84" s="73" customFormat="1">
      <c r="B40" s="302"/>
      <c r="C40" s="302"/>
      <c r="D40" s="302"/>
      <c r="E40" s="302"/>
      <c r="F40" s="302"/>
      <c r="G40" s="303"/>
      <c r="H40" s="303"/>
      <c r="I40" s="126"/>
      <c r="J40" s="259">
        <v>43101</v>
      </c>
      <c r="K40" s="57" t="s">
        <v>124</v>
      </c>
      <c r="L40" s="77">
        <v>216764</v>
      </c>
      <c r="M40" s="66">
        <v>24.15</v>
      </c>
      <c r="N40" s="60">
        <f>L40-O40</f>
        <v>145530.10999999999</v>
      </c>
      <c r="O40" s="66">
        <v>71233.89</v>
      </c>
      <c r="P40" s="60"/>
      <c r="Q40" s="60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</row>
    <row r="41" spans="2:84" s="73" customFormat="1">
      <c r="B41" s="302"/>
      <c r="C41" s="302"/>
      <c r="D41" s="302"/>
      <c r="E41" s="302"/>
      <c r="F41" s="302"/>
      <c r="G41" s="303"/>
      <c r="H41" s="303"/>
      <c r="I41" s="126"/>
      <c r="J41" s="76"/>
      <c r="K41" s="60" t="s">
        <v>234</v>
      </c>
      <c r="L41" s="60">
        <f>O41+N41</f>
        <v>0</v>
      </c>
      <c r="M41" s="66"/>
      <c r="N41" s="66"/>
      <c r="O41" s="66"/>
      <c r="P41" s="60">
        <f>IF(M41=0,0,ROUND(N41/M41,2))</f>
        <v>0</v>
      </c>
      <c r="Q41" s="60">
        <f>IF(N41=0,0,O41/N41+1)</f>
        <v>0</v>
      </c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</row>
    <row r="42" spans="2:84" s="73" customFormat="1">
      <c r="B42" s="302"/>
      <c r="C42" s="302"/>
      <c r="D42" s="302"/>
      <c r="E42" s="302"/>
      <c r="F42" s="302"/>
      <c r="G42" s="303"/>
      <c r="H42" s="303"/>
      <c r="I42" s="126"/>
      <c r="J42" s="76"/>
      <c r="K42" s="60" t="s">
        <v>125</v>
      </c>
      <c r="L42" s="60">
        <f>L40-L41</f>
        <v>216764</v>
      </c>
      <c r="M42" s="60">
        <f>M40-M41</f>
        <v>24.15</v>
      </c>
      <c r="N42" s="60">
        <f>N40-N41</f>
        <v>145530.10999999999</v>
      </c>
      <c r="O42" s="60">
        <f>O40-O41</f>
        <v>71233.89</v>
      </c>
      <c r="P42" s="60">
        <f>IF(M42=0,0,ROUND(N42/M42,2))</f>
        <v>6026.09</v>
      </c>
      <c r="Q42" s="60">
        <f>IF(N42=0,0,O42/N42+1)</f>
        <v>1.48947870650273</v>
      </c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</row>
    <row r="43" spans="2:84" s="73" customFormat="1">
      <c r="B43" s="302"/>
      <c r="C43" s="302"/>
      <c r="D43" s="302"/>
      <c r="E43" s="302"/>
      <c r="F43" s="302"/>
      <c r="G43" s="303"/>
      <c r="H43" s="303"/>
      <c r="I43" s="126"/>
      <c r="J43" s="511" t="s">
        <v>132</v>
      </c>
      <c r="K43" s="511"/>
      <c r="L43" s="60" t="s">
        <v>120</v>
      </c>
      <c r="M43" s="60" t="s">
        <v>121</v>
      </c>
      <c r="N43" s="60" t="s">
        <v>122</v>
      </c>
      <c r="O43" s="60" t="s">
        <v>123</v>
      </c>
      <c r="P43" s="261"/>
      <c r="Q43" s="262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</row>
    <row r="44" spans="2:84" s="73" customFormat="1">
      <c r="B44" s="302"/>
      <c r="C44" s="302"/>
      <c r="D44" s="302"/>
      <c r="E44" s="302"/>
      <c r="F44" s="302"/>
      <c r="G44" s="303"/>
      <c r="H44" s="303"/>
      <c r="I44" s="126"/>
      <c r="J44" s="259">
        <v>43191</v>
      </c>
      <c r="K44" s="57" t="s">
        <v>124</v>
      </c>
      <c r="L44" s="77">
        <v>199383</v>
      </c>
      <c r="M44" s="66">
        <v>24.15</v>
      </c>
      <c r="N44" s="60">
        <f>L44-O44</f>
        <v>148448.51999999999</v>
      </c>
      <c r="O44" s="66">
        <v>50934.48</v>
      </c>
      <c r="P44" s="60"/>
      <c r="Q44" s="60"/>
      <c r="R44" s="75"/>
      <c r="S44" s="3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</row>
    <row r="45" spans="2:84" s="73" customFormat="1">
      <c r="B45" s="302"/>
      <c r="C45" s="302"/>
      <c r="D45" s="302"/>
      <c r="E45" s="302"/>
      <c r="F45" s="302"/>
      <c r="G45" s="303"/>
      <c r="H45" s="303"/>
      <c r="I45" s="126"/>
      <c r="J45" s="76"/>
      <c r="K45" s="60" t="s">
        <v>234</v>
      </c>
      <c r="L45" s="60">
        <f>O45+N45</f>
        <v>0</v>
      </c>
      <c r="M45" s="66"/>
      <c r="N45" s="66"/>
      <c r="O45" s="66"/>
      <c r="P45" s="60">
        <f>IF(M45=0,0,ROUND(N45/M45,2))</f>
        <v>0</v>
      </c>
      <c r="Q45" s="60">
        <f>IF(N45=0,0,O45/N45+1)</f>
        <v>0</v>
      </c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</row>
    <row r="46" spans="2:84" s="73" customFormat="1">
      <c r="B46" s="302"/>
      <c r="C46" s="50"/>
      <c r="D46" s="50"/>
      <c r="E46" s="50"/>
      <c r="F46" s="50"/>
      <c r="G46" s="50"/>
      <c r="H46" s="302"/>
      <c r="I46" s="126"/>
      <c r="J46" s="76"/>
      <c r="K46" s="60" t="s">
        <v>125</v>
      </c>
      <c r="L46" s="60">
        <v>249082</v>
      </c>
      <c r="M46" s="60">
        <f>M44-M45</f>
        <v>24.15</v>
      </c>
      <c r="N46" s="60">
        <f>N44-N45</f>
        <v>148448.51999999999</v>
      </c>
      <c r="O46" s="60">
        <f>O44-O45</f>
        <v>50934.48</v>
      </c>
      <c r="P46" s="60">
        <f>IF(M46=0,0,ROUND(N46/M46,2))</f>
        <v>6146.94</v>
      </c>
      <c r="Q46" s="60">
        <f>IF(N46=0,0,O46/N46+1)</f>
        <v>1.3431120768331002</v>
      </c>
    </row>
    <row r="47" spans="2:84" s="73" customFormat="1">
      <c r="B47" s="78" t="s">
        <v>272</v>
      </c>
      <c r="C47" s="136"/>
      <c r="D47" s="137"/>
      <c r="E47" s="78"/>
      <c r="F47" s="80"/>
      <c r="G47" s="80"/>
      <c r="H47" s="302"/>
      <c r="I47" s="126"/>
      <c r="J47" s="511" t="s">
        <v>132</v>
      </c>
      <c r="K47" s="511"/>
      <c r="L47" s="60" t="s">
        <v>120</v>
      </c>
      <c r="M47" s="60" t="s">
        <v>121</v>
      </c>
      <c r="N47" s="60" t="s">
        <v>122</v>
      </c>
      <c r="O47" s="60" t="s">
        <v>123</v>
      </c>
      <c r="P47" s="261"/>
      <c r="Q47" s="262"/>
    </row>
    <row r="48" spans="2:84" s="73" customFormat="1">
      <c r="H48" s="302"/>
      <c r="I48" s="126"/>
      <c r="J48" s="259">
        <v>43221</v>
      </c>
      <c r="K48" s="57" t="s">
        <v>124</v>
      </c>
      <c r="L48" s="77">
        <v>204303</v>
      </c>
      <c r="M48" s="66">
        <v>24.15</v>
      </c>
      <c r="N48" s="60">
        <f>L48-O48</f>
        <v>189267.16</v>
      </c>
      <c r="O48" s="66">
        <v>15035.84</v>
      </c>
      <c r="P48" s="60"/>
      <c r="Q48" s="60"/>
    </row>
    <row r="49" spans="2:31" s="73" customFormat="1">
      <c r="H49" s="302"/>
      <c r="I49" s="126"/>
      <c r="J49" s="76"/>
      <c r="K49" s="60" t="s">
        <v>234</v>
      </c>
      <c r="L49" s="60">
        <f>O49+N49</f>
        <v>0</v>
      </c>
      <c r="M49" s="66"/>
      <c r="N49" s="66"/>
      <c r="O49" s="66"/>
      <c r="P49" s="60">
        <f>IF(M49=0,0,ROUND(N49/M49,2))</f>
        <v>0</v>
      </c>
      <c r="Q49" s="60">
        <f>IF(N49=0,0,O49/N49+1)</f>
        <v>0</v>
      </c>
    </row>
    <row r="50" spans="2:31" s="73" customFormat="1">
      <c r="B50" s="73" t="s">
        <v>237</v>
      </c>
      <c r="C50" s="136"/>
      <c r="D50" s="136"/>
      <c r="F50" s="80"/>
      <c r="G50" s="80"/>
      <c r="H50" s="302"/>
      <c r="I50" s="126"/>
      <c r="J50" s="76"/>
      <c r="K50" s="60" t="s">
        <v>125</v>
      </c>
      <c r="L50" s="60">
        <f>L48-L49</f>
        <v>204303</v>
      </c>
      <c r="M50" s="60">
        <f>M48-M49</f>
        <v>24.15</v>
      </c>
      <c r="N50" s="60">
        <f>N48-N49</f>
        <v>189267.16</v>
      </c>
      <c r="O50" s="60">
        <f>O48-O49</f>
        <v>15035.84</v>
      </c>
      <c r="P50" s="60">
        <f>IF(M50=0,0,ROUND(N50/M50,2))</f>
        <v>7837.15</v>
      </c>
      <c r="Q50" s="60">
        <f>IF(N50=0,0,O50/N50+1)</f>
        <v>1.0794424135703204</v>
      </c>
    </row>
    <row r="51" spans="2:31" s="73" customFormat="1">
      <c r="B51" s="302"/>
      <c r="H51" s="302"/>
      <c r="I51" s="126"/>
      <c r="J51" s="511" t="s">
        <v>132</v>
      </c>
      <c r="K51" s="511"/>
      <c r="L51" s="60" t="s">
        <v>120</v>
      </c>
      <c r="M51" s="60" t="s">
        <v>121</v>
      </c>
      <c r="N51" s="60" t="s">
        <v>122</v>
      </c>
      <c r="O51" s="60" t="s">
        <v>123</v>
      </c>
      <c r="P51" s="261"/>
      <c r="Q51" s="262"/>
    </row>
    <row r="52" spans="2:31" s="73" customFormat="1">
      <c r="B52" s="302"/>
      <c r="C52" s="302"/>
      <c r="D52" s="302"/>
      <c r="E52" s="302"/>
      <c r="F52" s="302"/>
      <c r="G52" s="302"/>
      <c r="H52" s="302"/>
      <c r="I52" s="126"/>
      <c r="J52" s="259">
        <v>43252</v>
      </c>
      <c r="K52" s="57" t="s">
        <v>124</v>
      </c>
      <c r="L52" s="77">
        <v>204303</v>
      </c>
      <c r="M52" s="66">
        <v>24.15</v>
      </c>
      <c r="N52" s="60">
        <f>L52-O52</f>
        <v>189267.16</v>
      </c>
      <c r="O52" s="66">
        <v>15035.84</v>
      </c>
      <c r="P52" s="60"/>
      <c r="Q52" s="60"/>
    </row>
    <row r="53" spans="2:31" s="73" customFormat="1">
      <c r="B53" s="302"/>
      <c r="C53" s="302"/>
      <c r="D53" s="302"/>
      <c r="E53" s="302"/>
      <c r="F53" s="302"/>
      <c r="G53" s="302"/>
      <c r="H53" s="302"/>
      <c r="I53" s="126"/>
      <c r="J53" s="76"/>
      <c r="K53" s="60" t="s">
        <v>234</v>
      </c>
      <c r="L53" s="60">
        <f>O53+N53</f>
        <v>0</v>
      </c>
      <c r="M53" s="66"/>
      <c r="N53" s="66"/>
      <c r="O53" s="66"/>
      <c r="P53" s="60">
        <f>IF(M53=0,0,ROUND(N53/M53,2))</f>
        <v>0</v>
      </c>
      <c r="Q53" s="60">
        <f>IF(N53=0,0,O53/N53+1)</f>
        <v>0</v>
      </c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</row>
    <row r="54" spans="2:31" ht="18.75">
      <c r="B54" s="46"/>
      <c r="C54" s="46"/>
      <c r="D54" s="46"/>
      <c r="E54" s="46"/>
      <c r="F54" s="46"/>
      <c r="G54" s="46"/>
      <c r="H54" s="46"/>
      <c r="J54" s="76"/>
      <c r="K54" s="60" t="s">
        <v>125</v>
      </c>
      <c r="L54" s="60">
        <f>L52-L53</f>
        <v>204303</v>
      </c>
      <c r="M54" s="60">
        <f>M52-M53</f>
        <v>24.15</v>
      </c>
      <c r="N54" s="60">
        <f>N52-N53</f>
        <v>189267.16</v>
      </c>
      <c r="O54" s="60">
        <f>O52-O53</f>
        <v>15035.84</v>
      </c>
      <c r="P54" s="60">
        <f>IF(M54=0,0,ROUND(N54/M54,2))</f>
        <v>7837.15</v>
      </c>
      <c r="Q54" s="60">
        <f>IF(N54=0,0,O54/N54+1)</f>
        <v>1.0794424135703204</v>
      </c>
    </row>
    <row r="55" spans="2:31">
      <c r="B55" s="39"/>
      <c r="G55" s="510" t="s">
        <v>133</v>
      </c>
      <c r="H55" s="510"/>
      <c r="J55" s="259">
        <v>43344</v>
      </c>
      <c r="K55" s="57" t="s">
        <v>124</v>
      </c>
      <c r="L55" s="77">
        <v>205153</v>
      </c>
      <c r="M55" s="66">
        <v>24.15</v>
      </c>
      <c r="N55" s="60">
        <f>L55-O55</f>
        <v>189267.16</v>
      </c>
      <c r="O55" s="66">
        <v>15885.84</v>
      </c>
      <c r="P55" s="60"/>
      <c r="Q55" s="60"/>
    </row>
    <row r="56" spans="2:31" ht="48" customHeight="1">
      <c r="B56" s="507" t="s">
        <v>235</v>
      </c>
      <c r="C56" s="507"/>
      <c r="D56" s="507"/>
      <c r="E56" s="507"/>
      <c r="F56" s="507"/>
      <c r="G56" s="507"/>
      <c r="H56" s="507"/>
      <c r="J56" s="76"/>
      <c r="K56" s="60" t="s">
        <v>234</v>
      </c>
      <c r="L56" s="60">
        <f>O56+N56</f>
        <v>0</v>
      </c>
      <c r="M56" s="66"/>
      <c r="N56" s="66"/>
      <c r="O56" s="66"/>
      <c r="P56" s="60">
        <f>IF(M56=0,0,ROUND(N56/M56,2))</f>
        <v>0</v>
      </c>
      <c r="Q56" s="60">
        <f>IF(N56=0,0,O56/N56+1)</f>
        <v>0</v>
      </c>
    </row>
    <row r="57" spans="2:31" ht="54.75" customHeight="1" thickBot="1">
      <c r="B57" s="513" t="s">
        <v>134</v>
      </c>
      <c r="C57" s="513"/>
      <c r="D57" s="513"/>
      <c r="E57" s="513"/>
      <c r="F57" s="513"/>
      <c r="G57" s="513"/>
      <c r="H57" s="513"/>
      <c r="J57" s="76"/>
      <c r="K57" s="60" t="s">
        <v>125</v>
      </c>
      <c r="L57" s="60">
        <f>L55-L56</f>
        <v>205153</v>
      </c>
      <c r="M57" s="60">
        <f>M55-M56</f>
        <v>24.15</v>
      </c>
      <c r="N57" s="60">
        <f>N55-N56</f>
        <v>189267.16</v>
      </c>
      <c r="O57" s="60">
        <f>O55-O56</f>
        <v>15885.84</v>
      </c>
      <c r="P57" s="60">
        <f>IF(M57=0,0,ROUND(N57/M57,2))</f>
        <v>7837.15</v>
      </c>
      <c r="Q57" s="60">
        <f>IF(N57=0,0,O57/N57+1)</f>
        <v>1.0839334198283528</v>
      </c>
    </row>
    <row r="58" spans="2:31" ht="38.25">
      <c r="B58" s="52" t="s">
        <v>135</v>
      </c>
      <c r="C58" s="53" t="s">
        <v>114</v>
      </c>
      <c r="D58" s="53" t="s">
        <v>115</v>
      </c>
      <c r="E58" s="53" t="s">
        <v>116</v>
      </c>
      <c r="F58" s="53" t="s">
        <v>117</v>
      </c>
      <c r="G58" s="53" t="s">
        <v>93</v>
      </c>
      <c r="H58" s="54" t="s">
        <v>118</v>
      </c>
      <c r="J58" s="259">
        <v>43435</v>
      </c>
      <c r="K58" s="57" t="s">
        <v>124</v>
      </c>
      <c r="L58" s="77">
        <f>609682-404531</f>
        <v>205151</v>
      </c>
      <c r="M58" s="66">
        <v>24.15</v>
      </c>
      <c r="N58" s="60">
        <f>L58-O58</f>
        <v>189267.16</v>
      </c>
      <c r="O58" s="66">
        <v>15883.84</v>
      </c>
      <c r="P58" s="60"/>
      <c r="Q58" s="60"/>
    </row>
    <row r="59" spans="2:31">
      <c r="B59" s="56">
        <f>M13</f>
        <v>53.25</v>
      </c>
      <c r="C59" s="57">
        <f>P13</f>
        <v>11266.04</v>
      </c>
      <c r="D59" s="57">
        <f>Q13</f>
        <v>1.2580166417181913</v>
      </c>
      <c r="E59" s="57">
        <v>3</v>
      </c>
      <c r="F59" s="57">
        <v>1</v>
      </c>
      <c r="G59" s="58">
        <f>ROUND((B59*C59*D59*E59*F59),2)</f>
        <v>2264115.31</v>
      </c>
      <c r="H59" s="59">
        <f>ROUND(G59*30.2%,2)</f>
        <v>683762.82</v>
      </c>
      <c r="J59" s="76"/>
      <c r="K59" s="60" t="s">
        <v>234</v>
      </c>
      <c r="L59" s="60">
        <f>O59+N59</f>
        <v>0</v>
      </c>
      <c r="M59" s="66"/>
      <c r="N59" s="66"/>
      <c r="O59" s="66"/>
      <c r="P59" s="60">
        <f>IF(M59=0,0,ROUND(N59/M59,2))</f>
        <v>0</v>
      </c>
      <c r="Q59" s="60">
        <f>IF(N59=0,0,O59/N59+1)</f>
        <v>0</v>
      </c>
    </row>
    <row r="60" spans="2:31">
      <c r="B60" s="56">
        <f>M17</f>
        <v>53.25</v>
      </c>
      <c r="C60" s="57">
        <f>P17</f>
        <v>11318.49</v>
      </c>
      <c r="D60" s="57">
        <f>Q17</f>
        <v>1.2521861309072149</v>
      </c>
      <c r="E60" s="57">
        <v>1</v>
      </c>
      <c r="F60" s="57">
        <v>1</v>
      </c>
      <c r="G60" s="58">
        <f>ROUND((B60*C60*D60*E60*F60),2)</f>
        <v>754704.59</v>
      </c>
      <c r="H60" s="59">
        <f>ROUND(G60*30.2%,2)</f>
        <v>227920.79</v>
      </c>
      <c r="J60" s="76"/>
      <c r="K60" s="60" t="s">
        <v>125</v>
      </c>
      <c r="L60" s="60">
        <f>L58-L59</f>
        <v>205151</v>
      </c>
      <c r="M60" s="60">
        <f>M58-M59</f>
        <v>24.15</v>
      </c>
      <c r="N60" s="60">
        <f>N58-N59</f>
        <v>189267.16</v>
      </c>
      <c r="O60" s="60">
        <f>O58-O59</f>
        <v>15883.84</v>
      </c>
      <c r="P60" s="60">
        <f>IF(M60=0,0,ROUND(N60/M60,2))</f>
        <v>7837.15</v>
      </c>
      <c r="Q60" s="60">
        <f>IF(N60=0,0,O60/N60+1)</f>
        <v>1.0839228527548044</v>
      </c>
    </row>
    <row r="61" spans="2:31">
      <c r="B61" s="56">
        <f>M21</f>
        <v>53.25</v>
      </c>
      <c r="C61" s="57">
        <f>P21</f>
        <v>12318.33</v>
      </c>
      <c r="D61" s="57">
        <f>Q21</f>
        <v>1.1505502848382623</v>
      </c>
      <c r="E61" s="57">
        <v>1</v>
      </c>
      <c r="F61" s="57">
        <v>1</v>
      </c>
      <c r="G61" s="306">
        <f>ROUND((B61*C61*D61*E61*F61),2)</f>
        <v>754704.69</v>
      </c>
      <c r="H61" s="59">
        <f>ROUND(G61*30.2%,2)</f>
        <v>227920.82</v>
      </c>
      <c r="K61" s="82"/>
    </row>
    <row r="62" spans="2:31">
      <c r="B62" s="56">
        <f>M25</f>
        <v>53.25</v>
      </c>
      <c r="C62" s="57">
        <f>P25</f>
        <v>12318.33</v>
      </c>
      <c r="D62" s="57">
        <f>Q25</f>
        <v>1.2207155654262085</v>
      </c>
      <c r="E62" s="57">
        <v>3</v>
      </c>
      <c r="F62" s="57">
        <v>1</v>
      </c>
      <c r="G62" s="377">
        <f>ROUND((B62*C62*D62*E62*F62),2)</f>
        <v>2402189.0499999998</v>
      </c>
      <c r="H62" s="59">
        <f>ROUND(G62*30.2%,2)</f>
        <v>725461.09</v>
      </c>
      <c r="K62" s="82"/>
    </row>
    <row r="63" spans="2:31">
      <c r="B63" s="56">
        <f>M29</f>
        <v>54.25</v>
      </c>
      <c r="C63" s="57">
        <f>P29</f>
        <v>12279.19</v>
      </c>
      <c r="D63" s="57">
        <f>Q29</f>
        <v>1.3073499526515251</v>
      </c>
      <c r="E63" s="57">
        <v>3</v>
      </c>
      <c r="F63" s="57">
        <v>1</v>
      </c>
      <c r="G63" s="380">
        <f>ROUND((B63*C63*D63*E63*F63),2)</f>
        <v>2612658.0499999998</v>
      </c>
      <c r="H63" s="59">
        <f>ROUND(G63*30.2%,2)</f>
        <v>789022.73</v>
      </c>
      <c r="K63" s="82"/>
    </row>
    <row r="64" spans="2:31" ht="13.5" thickBot="1">
      <c r="B64" s="61">
        <f>M32</f>
        <v>54.25</v>
      </c>
      <c r="C64" s="63">
        <f>P32</f>
        <v>12279.19</v>
      </c>
      <c r="D64" s="63">
        <f>Q32</f>
        <v>1.3073484514792446</v>
      </c>
      <c r="E64" s="63">
        <v>1</v>
      </c>
      <c r="F64" s="63">
        <v>1</v>
      </c>
      <c r="G64" s="307">
        <f>ROUND((B64*C64*D64*E64*F64),2)+0.3</f>
        <v>870885.32000000007</v>
      </c>
      <c r="H64" s="308">
        <f>ROUND(G64*30.2%,2)-0.09-9890.81+13.65</f>
        <v>253130.11999999997</v>
      </c>
    </row>
    <row r="65" spans="1:84" ht="13.5" thickBot="1">
      <c r="B65" s="50"/>
      <c r="C65" s="50"/>
      <c r="D65" s="50"/>
      <c r="E65" s="50"/>
      <c r="F65" s="50"/>
      <c r="G65" s="263">
        <f>SUM(G59:G64)</f>
        <v>9659257.0099999998</v>
      </c>
      <c r="H65" s="264">
        <f>SUM(H59:H64)</f>
        <v>2907218.37</v>
      </c>
    </row>
    <row r="66" spans="1:84">
      <c r="B66" s="85"/>
      <c r="C66" s="86"/>
      <c r="D66" s="85"/>
      <c r="E66" s="85"/>
      <c r="F66" s="85"/>
      <c r="G66" s="85"/>
      <c r="H66" s="85"/>
    </row>
    <row r="67" spans="1:84">
      <c r="B67" s="85"/>
      <c r="C67" s="86"/>
      <c r="D67" s="85"/>
      <c r="E67" s="85"/>
      <c r="F67" s="85"/>
      <c r="G67" s="85"/>
      <c r="H67" s="85"/>
    </row>
    <row r="68" spans="1:84" ht="50.25" customHeight="1" thickBot="1">
      <c r="B68" s="496" t="s">
        <v>300</v>
      </c>
      <c r="C68" s="496"/>
      <c r="D68" s="496"/>
      <c r="E68" s="496"/>
      <c r="F68" s="496"/>
      <c r="G68" s="496"/>
      <c r="H68" s="496"/>
    </row>
    <row r="69" spans="1:84" ht="15">
      <c r="B69" s="299" t="s">
        <v>91</v>
      </c>
      <c r="C69" s="497" t="s">
        <v>296</v>
      </c>
      <c r="D69" s="498"/>
      <c r="E69" s="499" t="s">
        <v>297</v>
      </c>
      <c r="F69" s="500"/>
      <c r="G69" s="50"/>
      <c r="H69" s="50"/>
    </row>
    <row r="70" spans="1:84">
      <c r="B70" s="300">
        <v>226</v>
      </c>
      <c r="C70" s="501">
        <f>IF(E70=0,0,ROUND(E70/('проверка 2018'!I12+'проверка 2018'!J12),2))</f>
        <v>15.7</v>
      </c>
      <c r="D70" s="502"/>
      <c r="E70" s="503">
        <f>'проверка 2018'!B19-E23</f>
        <v>9890.81</v>
      </c>
      <c r="F70" s="504"/>
      <c r="G70" s="50"/>
      <c r="H70" s="50"/>
    </row>
    <row r="71" spans="1:84" ht="13.5" thickBot="1">
      <c r="B71" s="301">
        <v>340</v>
      </c>
      <c r="C71" s="492">
        <f>IF(E71=0,0,ROUND(E71/('проверка 2018'!I12+'проверка 2018'!J12),2))</f>
        <v>0</v>
      </c>
      <c r="D71" s="493"/>
      <c r="E71" s="494">
        <f>'проверка 2018'!B20-E24</f>
        <v>0</v>
      </c>
      <c r="F71" s="495"/>
      <c r="G71" s="50"/>
      <c r="H71" s="50"/>
    </row>
    <row r="72" spans="1:84">
      <c r="B72" s="85"/>
      <c r="C72" s="86"/>
      <c r="D72" s="85"/>
      <c r="E72" s="85"/>
      <c r="F72" s="85"/>
      <c r="G72" s="85"/>
      <c r="H72" s="85"/>
    </row>
    <row r="73" spans="1:84">
      <c r="B73" s="85"/>
      <c r="C73" s="86"/>
      <c r="D73" s="85"/>
      <c r="E73" s="85"/>
      <c r="F73" s="85"/>
      <c r="G73" s="85"/>
      <c r="H73" s="85"/>
    </row>
    <row r="74" spans="1:84">
      <c r="B74" s="85"/>
      <c r="C74" s="86"/>
      <c r="D74" s="85"/>
      <c r="E74" s="85"/>
      <c r="F74" s="85"/>
      <c r="G74" s="85"/>
      <c r="H74" s="85"/>
    </row>
    <row r="75" spans="1:84">
      <c r="B75" s="85"/>
      <c r="C75" s="86"/>
      <c r="D75" s="85"/>
      <c r="E75" s="85"/>
      <c r="F75" s="85"/>
      <c r="G75" s="85"/>
      <c r="H75" s="85"/>
    </row>
    <row r="76" spans="1:84" s="39" customFormat="1" ht="52.5" customHeight="1" thickBot="1">
      <c r="A76" s="25"/>
      <c r="B76" s="513" t="s">
        <v>136</v>
      </c>
      <c r="C76" s="513"/>
      <c r="D76" s="513"/>
      <c r="E76" s="513"/>
      <c r="F76" s="513"/>
      <c r="G76" s="513"/>
      <c r="H76" s="513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</row>
    <row r="77" spans="1:84" s="39" customFormat="1" ht="38.25">
      <c r="A77" s="25"/>
      <c r="B77" s="52" t="s">
        <v>135</v>
      </c>
      <c r="C77" s="53" t="s">
        <v>114</v>
      </c>
      <c r="D77" s="53" t="s">
        <v>115</v>
      </c>
      <c r="E77" s="53" t="s">
        <v>116</v>
      </c>
      <c r="F77" s="53" t="s">
        <v>117</v>
      </c>
      <c r="G77" s="53" t="s">
        <v>93</v>
      </c>
      <c r="H77" s="54" t="s">
        <v>118</v>
      </c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</row>
    <row r="78" spans="1:84" s="39" customFormat="1">
      <c r="A78" s="48"/>
      <c r="B78" s="56">
        <f>M42</f>
        <v>24.15</v>
      </c>
      <c r="C78" s="57">
        <f>P42</f>
        <v>6026.09</v>
      </c>
      <c r="D78" s="57">
        <f>Q42</f>
        <v>1.48947870650273</v>
      </c>
      <c r="E78" s="57">
        <v>3</v>
      </c>
      <c r="F78" s="57">
        <v>1</v>
      </c>
      <c r="G78" s="324">
        <f>ROUND((B78*C78*D78*E78*F78),0)</f>
        <v>650292</v>
      </c>
      <c r="H78" s="59">
        <f>ROUND(G78*30.2%,0)</f>
        <v>196388</v>
      </c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</row>
    <row r="79" spans="1:84" s="39" customFormat="1">
      <c r="A79" s="48"/>
      <c r="B79" s="56">
        <f>M42</f>
        <v>24.15</v>
      </c>
      <c r="C79" s="57">
        <f>P46</f>
        <v>6146.94</v>
      </c>
      <c r="D79" s="57">
        <f>Q46</f>
        <v>1.3431120768331002</v>
      </c>
      <c r="E79" s="57">
        <v>1</v>
      </c>
      <c r="F79" s="57">
        <v>1</v>
      </c>
      <c r="G79" s="324">
        <f>ROUND((B79*C79*D79*E79*F79),0)</f>
        <v>199383</v>
      </c>
      <c r="H79" s="59">
        <f t="shared" ref="H79:H80" si="2">ROUND(G79*30.2%,0)</f>
        <v>60214</v>
      </c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</row>
    <row r="80" spans="1:84" s="39" customFormat="1">
      <c r="A80" s="48"/>
      <c r="B80" s="83">
        <v>24.15</v>
      </c>
      <c r="C80" s="330">
        <f>P50</f>
        <v>7837.15</v>
      </c>
      <c r="D80" s="330">
        <f>Q50</f>
        <v>1.0794424135703204</v>
      </c>
      <c r="E80" s="330">
        <v>1</v>
      </c>
      <c r="F80" s="330">
        <v>1</v>
      </c>
      <c r="G80" s="324">
        <f t="shared" ref="G80" si="3">ROUND((B80*C80*D80*E80*F80),0)</f>
        <v>204303</v>
      </c>
      <c r="H80" s="59">
        <f t="shared" si="2"/>
        <v>61700</v>
      </c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</row>
    <row r="81" spans="1:84" s="39" customFormat="1">
      <c r="A81" s="48"/>
      <c r="B81" s="83">
        <v>24.15</v>
      </c>
      <c r="C81" s="330">
        <f>P54</f>
        <v>7837.15</v>
      </c>
      <c r="D81" s="330">
        <f>Q54</f>
        <v>1.0794424135703204</v>
      </c>
      <c r="E81" s="330">
        <v>3</v>
      </c>
      <c r="F81" s="330">
        <v>1</v>
      </c>
      <c r="G81" s="377">
        <f>ROUND((B81*C81*D81*E81*F81),0)</f>
        <v>612909</v>
      </c>
      <c r="H81" s="59">
        <f>ROUND(G81*30.2%,0)</f>
        <v>185099</v>
      </c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</row>
    <row r="82" spans="1:84" s="39" customFormat="1">
      <c r="A82" s="48"/>
      <c r="B82" s="83">
        <v>24.15</v>
      </c>
      <c r="C82" s="330">
        <f>P57</f>
        <v>7837.15</v>
      </c>
      <c r="D82" s="330">
        <f>Q57</f>
        <v>1.0839334198283528</v>
      </c>
      <c r="E82" s="330">
        <v>3</v>
      </c>
      <c r="F82" s="330">
        <v>1</v>
      </c>
      <c r="G82" s="370">
        <f>ROUND((B82*C82*D82*E82*F82),0)-0.4</f>
        <v>615458.6</v>
      </c>
      <c r="H82" s="59">
        <f>ROUND(G82*30.2%,0)+4.38</f>
        <v>185872.38</v>
      </c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</row>
    <row r="83" spans="1:84" s="39" customFormat="1">
      <c r="A83" s="48"/>
      <c r="B83" s="83">
        <v>24.15</v>
      </c>
      <c r="C83" s="330">
        <f>P60</f>
        <v>7837.15</v>
      </c>
      <c r="D83" s="330">
        <f>Q60</f>
        <v>1.0839228527548044</v>
      </c>
      <c r="E83" s="330">
        <v>1</v>
      </c>
      <c r="F83" s="330">
        <v>1</v>
      </c>
      <c r="G83" s="378">
        <f>ROUND((B83*C83*D83*E83*F83),0)</f>
        <v>205151</v>
      </c>
      <c r="H83" s="59">
        <f>ROUND(G83*30.2%,0)</f>
        <v>61956</v>
      </c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</row>
    <row r="84" spans="1:84" s="39" customFormat="1" ht="13.15" customHeight="1">
      <c r="A84" s="48"/>
      <c r="B84" s="514" t="s">
        <v>384</v>
      </c>
      <c r="C84" s="515"/>
      <c r="D84" s="515"/>
      <c r="E84" s="516"/>
      <c r="F84" s="57"/>
      <c r="G84" s="324">
        <v>11452</v>
      </c>
      <c r="H84" s="331">
        <f>ROUND(G84*30.2%,0)</f>
        <v>3459</v>
      </c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</row>
    <row r="85" spans="1:84" s="39" customFormat="1" ht="13.9" customHeight="1" thickBot="1">
      <c r="A85" s="48"/>
      <c r="B85" s="517" t="s">
        <v>385</v>
      </c>
      <c r="C85" s="518"/>
      <c r="D85" s="518"/>
      <c r="E85" s="519"/>
      <c r="F85" s="64"/>
      <c r="G85" s="325">
        <v>217581</v>
      </c>
      <c r="H85" s="65">
        <f>ROUND(G85*30.2%,0)</f>
        <v>65709</v>
      </c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</row>
    <row r="86" spans="1:84" s="39" customFormat="1" ht="13.5" thickBot="1">
      <c r="A86" s="48"/>
      <c r="B86" s="50"/>
      <c r="C86" s="50"/>
      <c r="D86" s="50"/>
      <c r="E86" s="50"/>
      <c r="F86" s="50"/>
      <c r="G86" s="263">
        <f>SUM(G78:G85)</f>
        <v>2716529.6</v>
      </c>
      <c r="H86" s="264">
        <f>SUM(H78:H85)</f>
        <v>820397.38</v>
      </c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</row>
    <row r="87" spans="1:84" s="39" customFormat="1">
      <c r="A87" s="48"/>
      <c r="B87" s="85"/>
      <c r="C87" s="86"/>
      <c r="D87" s="85"/>
      <c r="E87" s="85"/>
      <c r="F87" s="85"/>
      <c r="G87" s="85"/>
      <c r="H87" s="8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</row>
    <row r="88" spans="1:84" s="39" customFormat="1">
      <c r="A88" s="48"/>
      <c r="B88" s="85"/>
      <c r="C88" s="86"/>
      <c r="D88" s="85"/>
      <c r="E88" s="85"/>
      <c r="F88" s="85"/>
      <c r="G88" s="85"/>
      <c r="H88" s="8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</row>
    <row r="89" spans="1:84" s="39" customFormat="1" ht="47.25" customHeight="1" thickBot="1">
      <c r="A89" s="48"/>
      <c r="B89" s="496" t="s">
        <v>301</v>
      </c>
      <c r="C89" s="496"/>
      <c r="D89" s="496"/>
      <c r="E89" s="496"/>
      <c r="F89" s="496"/>
      <c r="G89" s="496"/>
      <c r="H89" s="496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</row>
    <row r="90" spans="1:84" s="39" customFormat="1" ht="15">
      <c r="A90" s="48"/>
      <c r="B90" s="299" t="s">
        <v>91</v>
      </c>
      <c r="C90" s="497" t="s">
        <v>296</v>
      </c>
      <c r="D90" s="498"/>
      <c r="E90" s="499" t="s">
        <v>297</v>
      </c>
      <c r="F90" s="500"/>
      <c r="G90" s="50"/>
      <c r="H90" s="50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</row>
    <row r="91" spans="1:84" s="39" customFormat="1">
      <c r="A91" s="48"/>
      <c r="B91" s="300">
        <v>226</v>
      </c>
      <c r="C91" s="501">
        <f>IF(E91=0,0,ROUND(E91/('проверка 2018'!I12+'проверка 2018'!J12),2))</f>
        <v>0</v>
      </c>
      <c r="D91" s="502"/>
      <c r="E91" s="503">
        <f>'проверка 2018'!B34</f>
        <v>0</v>
      </c>
      <c r="F91" s="504"/>
      <c r="G91" s="50"/>
      <c r="H91" s="50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</row>
    <row r="92" spans="1:84" s="39" customFormat="1" ht="13.5" thickBot="1">
      <c r="A92" s="48"/>
      <c r="B92" s="301">
        <v>340</v>
      </c>
      <c r="C92" s="492">
        <f>IF(E92=0,0,ROUND(E92/('проверка 2018'!I12+'проверка 2018'!J12),2))</f>
        <v>0</v>
      </c>
      <c r="D92" s="493"/>
      <c r="E92" s="494">
        <f>'проверка 2018'!B35</f>
        <v>0</v>
      </c>
      <c r="F92" s="495"/>
      <c r="G92" s="50"/>
      <c r="H92" s="50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</row>
    <row r="93" spans="1:84" s="39" customFormat="1">
      <c r="A93" s="48"/>
      <c r="B93" s="85"/>
      <c r="C93" s="86"/>
      <c r="D93" s="85"/>
      <c r="E93" s="85"/>
      <c r="F93" s="85"/>
      <c r="G93" s="85" t="s">
        <v>137</v>
      </c>
      <c r="H93" s="8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</row>
    <row r="94" spans="1:84" s="39" customFormat="1" ht="13.5" thickBot="1">
      <c r="A94" s="48"/>
      <c r="B94" s="85"/>
      <c r="C94" s="86"/>
      <c r="D94" s="85"/>
      <c r="E94" s="85"/>
      <c r="F94" s="85"/>
      <c r="G94" s="85"/>
      <c r="H94" s="8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</row>
    <row r="95" spans="1:84" s="39" customFormat="1" ht="89.25">
      <c r="A95" s="48"/>
      <c r="B95" s="52" t="s">
        <v>138</v>
      </c>
      <c r="C95" s="53" t="s">
        <v>139</v>
      </c>
      <c r="D95" s="53" t="s">
        <v>116</v>
      </c>
      <c r="E95" s="54" t="s">
        <v>140</v>
      </c>
      <c r="F95" s="50"/>
      <c r="G95" s="50"/>
      <c r="H95" s="50" t="s">
        <v>137</v>
      </c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</row>
    <row r="96" spans="1:84" s="39" customFormat="1" hidden="1">
      <c r="A96" s="48"/>
      <c r="B96" s="56"/>
      <c r="C96" s="57"/>
      <c r="D96" s="57"/>
      <c r="E96" s="81"/>
      <c r="F96" s="50"/>
      <c r="G96" s="50"/>
      <c r="H96" s="50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</row>
    <row r="97" spans="1:84" s="39" customFormat="1" ht="13.5" thickBot="1">
      <c r="A97" s="48"/>
      <c r="B97" s="72">
        <v>50</v>
      </c>
      <c r="C97" s="64">
        <v>3</v>
      </c>
      <c r="D97" s="64">
        <v>12</v>
      </c>
      <c r="E97" s="84">
        <f>B97*C97*D97</f>
        <v>1800</v>
      </c>
      <c r="I97" s="39" t="s">
        <v>137</v>
      </c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</row>
    <row r="98" spans="1:84" s="39" customFormat="1">
      <c r="A98" s="48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</row>
    <row r="99" spans="1:84" s="39" customFormat="1">
      <c r="A99" s="48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</row>
    <row r="100" spans="1:84" s="39" customFormat="1">
      <c r="A100" s="48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</row>
    <row r="101" spans="1:84" s="39" customFormat="1">
      <c r="A101" s="48"/>
      <c r="B101" s="35" t="s">
        <v>272</v>
      </c>
      <c r="C101" s="136"/>
      <c r="D101" s="137"/>
      <c r="E101" s="374" t="s">
        <v>382</v>
      </c>
      <c r="F101" s="80"/>
      <c r="G101" s="79"/>
      <c r="H101" s="73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</row>
    <row r="102" spans="1:84" s="39" customFormat="1">
      <c r="A102" s="48"/>
      <c r="B102" s="73"/>
      <c r="C102" s="73"/>
      <c r="D102" s="73"/>
      <c r="E102" s="73"/>
      <c r="F102" s="73"/>
      <c r="G102" s="73"/>
      <c r="H102" s="73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</row>
    <row r="103" spans="1:84" s="39" customFormat="1">
      <c r="A103" s="25"/>
      <c r="B103" s="73"/>
      <c r="C103" s="73"/>
      <c r="D103" s="73"/>
      <c r="E103" s="73"/>
      <c r="F103" s="73"/>
      <c r="G103" s="73"/>
      <c r="H103" s="73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  <c r="BX103" s="25"/>
      <c r="BY103" s="25"/>
      <c r="BZ103" s="25"/>
      <c r="CA103" s="25"/>
      <c r="CB103" s="25"/>
      <c r="CC103" s="25"/>
      <c r="CD103" s="25"/>
      <c r="CE103" s="25"/>
      <c r="CF103" s="25"/>
    </row>
    <row r="104" spans="1:84" s="39" customFormat="1">
      <c r="A104" s="25"/>
      <c r="B104" s="25" t="s">
        <v>237</v>
      </c>
      <c r="C104" s="136"/>
      <c r="D104" s="136"/>
      <c r="E104" s="374" t="s">
        <v>383</v>
      </c>
      <c r="F104" s="80"/>
      <c r="G104" s="79"/>
      <c r="H104" s="73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</row>
    <row r="105" spans="1:84" s="39" customFormat="1">
      <c r="A105" s="25"/>
      <c r="B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</row>
    <row r="106" spans="1:84" s="39" customFormat="1">
      <c r="A106" s="25"/>
      <c r="B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25"/>
      <c r="CB106" s="25"/>
      <c r="CC106" s="25"/>
      <c r="CD106" s="25"/>
      <c r="CE106" s="25"/>
      <c r="CF106" s="25"/>
    </row>
    <row r="107" spans="1:84" s="39" customFormat="1">
      <c r="A107" s="25"/>
      <c r="B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</row>
    <row r="108" spans="1:84" s="39" customFormat="1">
      <c r="A108" s="25"/>
      <c r="B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</row>
  </sheetData>
  <mergeCells count="37">
    <mergeCell ref="B84:E84"/>
    <mergeCell ref="B85:E85"/>
    <mergeCell ref="B76:H76"/>
    <mergeCell ref="B4:H4"/>
    <mergeCell ref="C70:D70"/>
    <mergeCell ref="E70:F70"/>
    <mergeCell ref="C71:D71"/>
    <mergeCell ref="E71:F71"/>
    <mergeCell ref="H1:I1"/>
    <mergeCell ref="H3:I3"/>
    <mergeCell ref="B56:H56"/>
    <mergeCell ref="B68:H68"/>
    <mergeCell ref="C69:D69"/>
    <mergeCell ref="E69:F69"/>
    <mergeCell ref="B57:H57"/>
    <mergeCell ref="J9:K9"/>
    <mergeCell ref="B28:H28"/>
    <mergeCell ref="B2:H2"/>
    <mergeCell ref="J39:K39"/>
    <mergeCell ref="G55:H55"/>
    <mergeCell ref="J43:K43"/>
    <mergeCell ref="J47:K47"/>
    <mergeCell ref="B21:H21"/>
    <mergeCell ref="E22:F22"/>
    <mergeCell ref="E23:F23"/>
    <mergeCell ref="E24:F24"/>
    <mergeCell ref="C22:D22"/>
    <mergeCell ref="C23:D23"/>
    <mergeCell ref="C24:D24"/>
    <mergeCell ref="J51:K51"/>
    <mergeCell ref="C92:D92"/>
    <mergeCell ref="E92:F92"/>
    <mergeCell ref="B89:H89"/>
    <mergeCell ref="C90:D90"/>
    <mergeCell ref="E90:F90"/>
    <mergeCell ref="C91:D91"/>
    <mergeCell ref="E91:F91"/>
  </mergeCells>
  <pageMargins left="0.59055118110236227" right="0" top="0.55118110236220474" bottom="0.55118110236220474" header="0.31496062992125984" footer="0.31496062992125984"/>
  <pageSetup paperSize="9" scale="73" orientation="portrait" r:id="rId1"/>
  <rowBreaks count="1" manualBreakCount="1">
    <brk id="50" max="16" man="1"/>
  </rowBreaks>
  <colBreaks count="1" manualBreakCount="1">
    <brk id="9" max="10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CE119"/>
  <sheetViews>
    <sheetView view="pageBreakPreview" zoomScaleSheetLayoutView="100" workbookViewId="0">
      <selection activeCell="E91" sqref="E91"/>
    </sheetView>
  </sheetViews>
  <sheetFormatPr defaultColWidth="9.140625" defaultRowHeight="12.75"/>
  <cols>
    <col min="1" max="1" width="3.42578125" style="25" customWidth="1"/>
    <col min="2" max="2" width="27.85546875" style="25" customWidth="1"/>
    <col min="3" max="3" width="16.85546875" style="220" customWidth="1"/>
    <col min="4" max="4" width="12.85546875" style="25" customWidth="1"/>
    <col min="5" max="5" width="14.28515625" style="25" customWidth="1"/>
    <col min="6" max="6" width="13" style="25" customWidth="1"/>
    <col min="7" max="7" width="14.5703125" style="25" customWidth="1"/>
    <col min="8" max="8" width="9.140625" style="25"/>
    <col min="9" max="9" width="13.85546875" style="25" customWidth="1"/>
    <col min="10" max="10" width="10.140625" style="25" bestFit="1" customWidth="1"/>
    <col min="11" max="11" width="8.7109375" style="25" customWidth="1"/>
    <col min="12" max="16384" width="9.140625" style="25"/>
  </cols>
  <sheetData>
    <row r="1" spans="2:9">
      <c r="F1" s="486" t="s">
        <v>141</v>
      </c>
      <c r="G1" s="486"/>
    </row>
    <row r="2" spans="2:9" ht="25.5" customHeight="1">
      <c r="B2" s="524" t="s">
        <v>142</v>
      </c>
      <c r="C2" s="524"/>
      <c r="D2" s="524"/>
      <c r="E2" s="524"/>
      <c r="F2" s="524"/>
      <c r="G2" s="524"/>
    </row>
    <row r="3" spans="2:9" s="88" customFormat="1">
      <c r="B3" s="87"/>
      <c r="C3" s="221"/>
      <c r="D3" s="87"/>
      <c r="E3" s="87"/>
      <c r="F3" s="87"/>
      <c r="G3" s="87"/>
    </row>
    <row r="4" spans="2:9" ht="13.5" thickBot="1">
      <c r="B4" s="87"/>
      <c r="C4" s="221"/>
      <c r="D4" s="87"/>
      <c r="E4" s="87"/>
      <c r="F4" s="87"/>
      <c r="G4" s="87"/>
    </row>
    <row r="5" spans="2:9" s="195" customFormat="1" ht="25.5">
      <c r="B5" s="191"/>
      <c r="C5" s="222" t="s">
        <v>143</v>
      </c>
      <c r="D5" s="192" t="s">
        <v>144</v>
      </c>
      <c r="E5" s="192" t="s">
        <v>116</v>
      </c>
      <c r="F5" s="193" t="s">
        <v>117</v>
      </c>
      <c r="G5" s="194" t="s">
        <v>145</v>
      </c>
    </row>
    <row r="6" spans="2:9" s="198" customFormat="1">
      <c r="B6" s="196" t="s">
        <v>146</v>
      </c>
      <c r="C6" s="223">
        <v>349</v>
      </c>
      <c r="D6" s="197">
        <v>12.7</v>
      </c>
      <c r="E6" s="197">
        <v>12</v>
      </c>
      <c r="F6" s="197">
        <v>1</v>
      </c>
      <c r="G6" s="269">
        <f>ROUND(C6*D6*E6*F6,2)</f>
        <v>53187.6</v>
      </c>
    </row>
    <row r="7" spans="2:9" s="198" customFormat="1">
      <c r="B7" s="199" t="s">
        <v>148</v>
      </c>
      <c r="C7" s="223">
        <v>0.6</v>
      </c>
      <c r="D7" s="197">
        <v>5227</v>
      </c>
      <c r="E7" s="197">
        <v>4</v>
      </c>
      <c r="F7" s="197">
        <v>1</v>
      </c>
      <c r="G7" s="269">
        <f>ROUND(C7*D7*E7*F7,2)</f>
        <v>12544.8</v>
      </c>
    </row>
    <row r="8" spans="2:9" s="198" customFormat="1" ht="34.5" customHeight="1">
      <c r="B8" s="196" t="s">
        <v>275</v>
      </c>
      <c r="C8" s="273">
        <v>256.85000000000002</v>
      </c>
      <c r="D8" s="197">
        <v>2</v>
      </c>
      <c r="E8" s="197">
        <v>12</v>
      </c>
      <c r="F8" s="197">
        <v>1</v>
      </c>
      <c r="G8" s="269">
        <f t="shared" ref="G8:G58" si="0">ROUND(C8*D8*E8*F8,2)</f>
        <v>6164.4</v>
      </c>
    </row>
    <row r="9" spans="2:9" s="198" customFormat="1" ht="34.5" customHeight="1">
      <c r="B9" s="196" t="s">
        <v>275</v>
      </c>
      <c r="C9" s="273">
        <v>256.85000000000002</v>
      </c>
      <c r="D9" s="197">
        <v>1</v>
      </c>
      <c r="E9" s="197">
        <v>7</v>
      </c>
      <c r="F9" s="197">
        <v>1</v>
      </c>
      <c r="G9" s="269">
        <f t="shared" ref="G9" si="1">ROUND(C9*D9*E9*F9,2)</f>
        <v>1797.95</v>
      </c>
    </row>
    <row r="10" spans="2:9" s="198" customFormat="1">
      <c r="B10" s="196" t="s">
        <v>149</v>
      </c>
      <c r="C10" s="223">
        <v>2548</v>
      </c>
      <c r="D10" s="197">
        <v>1</v>
      </c>
      <c r="E10" s="197">
        <v>12</v>
      </c>
      <c r="F10" s="197">
        <v>1</v>
      </c>
      <c r="G10" s="269">
        <f>ROUND(C10*D10*E10*F10,0)</f>
        <v>30576</v>
      </c>
    </row>
    <row r="11" spans="2:9" s="198" customFormat="1">
      <c r="B11" s="196" t="s">
        <v>149</v>
      </c>
      <c r="C11" s="223">
        <v>1000</v>
      </c>
      <c r="D11" s="197">
        <v>1</v>
      </c>
      <c r="E11" s="197">
        <v>12</v>
      </c>
      <c r="F11" s="197">
        <v>1</v>
      </c>
      <c r="G11" s="269">
        <f>ROUND(C11*D11*E11*F11,0)</f>
        <v>12000</v>
      </c>
    </row>
    <row r="12" spans="2:9" s="198" customFormat="1">
      <c r="B12" s="196" t="s">
        <v>238</v>
      </c>
      <c r="C12" s="223">
        <v>1500</v>
      </c>
      <c r="D12" s="197">
        <v>1</v>
      </c>
      <c r="E12" s="197">
        <v>12</v>
      </c>
      <c r="F12" s="197">
        <v>1</v>
      </c>
      <c r="G12" s="269">
        <f t="shared" si="0"/>
        <v>18000</v>
      </c>
    </row>
    <row r="13" spans="2:9" s="198" customFormat="1" ht="25.5">
      <c r="B13" s="196" t="s">
        <v>239</v>
      </c>
      <c r="C13" s="223"/>
      <c r="D13" s="213">
        <v>1</v>
      </c>
      <c r="E13" s="213">
        <v>0</v>
      </c>
      <c r="F13" s="213">
        <v>1</v>
      </c>
      <c r="G13" s="269">
        <f t="shared" si="0"/>
        <v>0</v>
      </c>
    </row>
    <row r="14" spans="2:9" s="198" customFormat="1">
      <c r="B14" s="196" t="s">
        <v>240</v>
      </c>
      <c r="C14" s="223"/>
      <c r="D14" s="197"/>
      <c r="E14" s="197"/>
      <c r="F14" s="197">
        <v>1</v>
      </c>
      <c r="G14" s="269">
        <f t="shared" si="0"/>
        <v>0</v>
      </c>
    </row>
    <row r="15" spans="2:9" s="198" customFormat="1">
      <c r="B15" s="196" t="s">
        <v>241</v>
      </c>
      <c r="C15" s="223">
        <v>1000</v>
      </c>
      <c r="D15" s="197">
        <v>1</v>
      </c>
      <c r="E15" s="197">
        <v>12</v>
      </c>
      <c r="F15" s="197">
        <v>1</v>
      </c>
      <c r="G15" s="269">
        <f t="shared" si="0"/>
        <v>12000</v>
      </c>
      <c r="I15" s="274"/>
    </row>
    <row r="16" spans="2:9" s="198" customFormat="1">
      <c r="B16" s="196" t="s">
        <v>241</v>
      </c>
      <c r="C16" s="223">
        <v>1100</v>
      </c>
      <c r="D16" s="197">
        <v>2</v>
      </c>
      <c r="E16" s="197">
        <v>12</v>
      </c>
      <c r="F16" s="197">
        <v>1</v>
      </c>
      <c r="G16" s="269">
        <f t="shared" ref="G16" si="2">ROUND(C16*D16*E16*F16,2)</f>
        <v>26400</v>
      </c>
      <c r="I16" s="274"/>
    </row>
    <row r="17" spans="2:9" s="198" customFormat="1" ht="25.5">
      <c r="B17" s="196" t="s">
        <v>242</v>
      </c>
      <c r="C17" s="223">
        <v>1605.26</v>
      </c>
      <c r="D17" s="197">
        <v>2</v>
      </c>
      <c r="E17" s="197">
        <v>12</v>
      </c>
      <c r="F17" s="197">
        <v>1</v>
      </c>
      <c r="G17" s="269">
        <f>ROUND(C17*D17*E17*F17,2)</f>
        <v>38526.239999999998</v>
      </c>
    </row>
    <row r="18" spans="2:9" s="198" customFormat="1">
      <c r="B18" s="196" t="s">
        <v>336</v>
      </c>
      <c r="C18" s="223">
        <v>2000</v>
      </c>
      <c r="D18" s="197">
        <v>1</v>
      </c>
      <c r="E18" s="197">
        <v>12</v>
      </c>
      <c r="F18" s="197">
        <v>1</v>
      </c>
      <c r="G18" s="269">
        <f t="shared" si="0"/>
        <v>24000</v>
      </c>
      <c r="I18" s="274"/>
    </row>
    <row r="19" spans="2:9" s="198" customFormat="1" ht="25.5">
      <c r="B19" s="196" t="s">
        <v>337</v>
      </c>
      <c r="C19" s="223">
        <v>1700</v>
      </c>
      <c r="D19" s="197">
        <v>1</v>
      </c>
      <c r="E19" s="197">
        <v>12</v>
      </c>
      <c r="F19" s="197">
        <v>1</v>
      </c>
      <c r="G19" s="269">
        <f t="shared" si="0"/>
        <v>20400</v>
      </c>
    </row>
    <row r="20" spans="2:9" s="198" customFormat="1" ht="25.5">
      <c r="B20" s="196" t="s">
        <v>337</v>
      </c>
      <c r="C20" s="223">
        <v>1112</v>
      </c>
      <c r="D20" s="197">
        <v>1</v>
      </c>
      <c r="E20" s="197">
        <v>12</v>
      </c>
      <c r="F20" s="197">
        <v>1</v>
      </c>
      <c r="G20" s="269">
        <f t="shared" ref="G20" si="3">ROUND(C20*D20*E20*F20,2)</f>
        <v>13344</v>
      </c>
    </row>
    <row r="21" spans="2:9" s="198" customFormat="1">
      <c r="B21" s="196" t="s">
        <v>338</v>
      </c>
      <c r="C21" s="223">
        <v>3560.4</v>
      </c>
      <c r="D21" s="197">
        <v>1</v>
      </c>
      <c r="E21" s="197">
        <v>12</v>
      </c>
      <c r="F21" s="197">
        <v>1</v>
      </c>
      <c r="G21" s="269">
        <f t="shared" si="0"/>
        <v>42724.800000000003</v>
      </c>
    </row>
    <row r="22" spans="2:9" s="198" customFormat="1">
      <c r="B22" s="196" t="s">
        <v>338</v>
      </c>
      <c r="C22" s="223">
        <v>3560.4</v>
      </c>
      <c r="D22" s="197">
        <v>1</v>
      </c>
      <c r="E22" s="197">
        <v>1</v>
      </c>
      <c r="F22" s="197">
        <v>1</v>
      </c>
      <c r="G22" s="269">
        <f t="shared" ref="G22" si="4">ROUND(C22*D22*E22*F22,2)</f>
        <v>3560.4</v>
      </c>
    </row>
    <row r="23" spans="2:9" s="198" customFormat="1">
      <c r="B23" s="196" t="s">
        <v>150</v>
      </c>
      <c r="C23" s="223">
        <v>6500</v>
      </c>
      <c r="D23" s="197">
        <v>1</v>
      </c>
      <c r="E23" s="197">
        <v>1</v>
      </c>
      <c r="F23" s="197">
        <v>1</v>
      </c>
      <c r="G23" s="269">
        <f t="shared" si="0"/>
        <v>6500</v>
      </c>
    </row>
    <row r="24" spans="2:9" s="198" customFormat="1">
      <c r="B24" s="199" t="s">
        <v>329</v>
      </c>
      <c r="C24" s="223"/>
      <c r="D24" s="197"/>
      <c r="E24" s="197">
        <v>1</v>
      </c>
      <c r="F24" s="197">
        <v>1</v>
      </c>
      <c r="G24" s="269">
        <f t="shared" si="0"/>
        <v>0</v>
      </c>
    </row>
    <row r="25" spans="2:9" s="198" customFormat="1">
      <c r="B25" s="196" t="s">
        <v>339</v>
      </c>
      <c r="C25" s="223">
        <v>10879</v>
      </c>
      <c r="D25" s="197">
        <v>1</v>
      </c>
      <c r="E25" s="197">
        <v>11</v>
      </c>
      <c r="F25" s="197">
        <v>1</v>
      </c>
      <c r="G25" s="269">
        <f>ROUND(C25*D25*E25*F25,2)</f>
        <v>119669</v>
      </c>
    </row>
    <row r="26" spans="2:9" s="198" customFormat="1">
      <c r="B26" s="196" t="s">
        <v>339</v>
      </c>
      <c r="C26" s="223">
        <v>10883.58</v>
      </c>
      <c r="D26" s="197">
        <v>1</v>
      </c>
      <c r="E26" s="197">
        <v>1</v>
      </c>
      <c r="F26" s="197">
        <v>1</v>
      </c>
      <c r="G26" s="269">
        <f>ROUND(C26*D26*E26*F26,2)</f>
        <v>10883.58</v>
      </c>
    </row>
    <row r="27" spans="2:9" s="198" customFormat="1">
      <c r="B27" s="196" t="s">
        <v>243</v>
      </c>
      <c r="C27" s="223">
        <v>1994.1790000000001</v>
      </c>
      <c r="D27" s="197">
        <v>1</v>
      </c>
      <c r="E27" s="197">
        <v>12</v>
      </c>
      <c r="F27" s="197">
        <v>1</v>
      </c>
      <c r="G27" s="269">
        <f>ROUND(C27*D27*E27*F27,2)</f>
        <v>23930.15</v>
      </c>
    </row>
    <row r="28" spans="2:9" s="198" customFormat="1">
      <c r="B28" s="196" t="s">
        <v>328</v>
      </c>
      <c r="C28" s="224">
        <v>10000</v>
      </c>
      <c r="D28" s="201">
        <v>2</v>
      </c>
      <c r="E28" s="200">
        <v>1</v>
      </c>
      <c r="F28" s="197">
        <v>1</v>
      </c>
      <c r="G28" s="269">
        <f t="shared" si="0"/>
        <v>20000</v>
      </c>
    </row>
    <row r="29" spans="2:9" s="198" customFormat="1" ht="25.5" customHeight="1">
      <c r="B29" s="196" t="s">
        <v>332</v>
      </c>
      <c r="C29" s="224">
        <v>24600</v>
      </c>
      <c r="D29" s="201">
        <v>1</v>
      </c>
      <c r="E29" s="200">
        <v>1</v>
      </c>
      <c r="F29" s="197">
        <v>1</v>
      </c>
      <c r="G29" s="269">
        <f t="shared" si="0"/>
        <v>24600</v>
      </c>
    </row>
    <row r="30" spans="2:9" s="198" customFormat="1" ht="12.75" customHeight="1">
      <c r="B30" s="196" t="s">
        <v>244</v>
      </c>
      <c r="C30" s="224"/>
      <c r="D30" s="201"/>
      <c r="E30" s="200"/>
      <c r="F30" s="197"/>
      <c r="G30" s="269">
        <f t="shared" si="0"/>
        <v>0</v>
      </c>
    </row>
    <row r="31" spans="2:9" s="198" customFormat="1" ht="14.25" customHeight="1">
      <c r="B31" s="196" t="s">
        <v>165</v>
      </c>
      <c r="C31" s="224">
        <v>2131.6</v>
      </c>
      <c r="D31" s="201">
        <v>1</v>
      </c>
      <c r="E31" s="200">
        <v>12</v>
      </c>
      <c r="F31" s="197">
        <v>1</v>
      </c>
      <c r="G31" s="269">
        <f>ROUND(C31*D31*E31*F31,2)</f>
        <v>25579.200000000001</v>
      </c>
    </row>
    <row r="32" spans="2:9" s="198" customFormat="1" ht="14.25" customHeight="1">
      <c r="B32" s="196" t="s">
        <v>165</v>
      </c>
      <c r="C32" s="224">
        <v>1065.8</v>
      </c>
      <c r="D32" s="201">
        <v>1</v>
      </c>
      <c r="E32" s="200">
        <v>7</v>
      </c>
      <c r="F32" s="197">
        <v>1</v>
      </c>
      <c r="G32" s="269">
        <f>ROUND(C32*D32*E32*F32,2)</f>
        <v>7460.6</v>
      </c>
    </row>
    <row r="33" spans="2:9" s="198" customFormat="1" ht="25.5">
      <c r="B33" s="199" t="s">
        <v>245</v>
      </c>
      <c r="C33" s="225">
        <v>1000</v>
      </c>
      <c r="D33" s="201">
        <v>1</v>
      </c>
      <c r="E33" s="200">
        <v>1</v>
      </c>
      <c r="F33" s="197">
        <v>1</v>
      </c>
      <c r="G33" s="269">
        <f t="shared" si="0"/>
        <v>1000</v>
      </c>
    </row>
    <row r="34" spans="2:9" s="198" customFormat="1">
      <c r="B34" s="204"/>
      <c r="C34" s="223"/>
      <c r="D34" s="197"/>
      <c r="E34" s="197"/>
      <c r="F34" s="197"/>
      <c r="G34" s="269">
        <f t="shared" si="0"/>
        <v>0</v>
      </c>
    </row>
    <row r="35" spans="2:9" s="198" customFormat="1" ht="11.25" customHeight="1">
      <c r="B35" s="525" t="s">
        <v>386</v>
      </c>
      <c r="C35" s="223">
        <v>170</v>
      </c>
      <c r="D35" s="197">
        <v>38</v>
      </c>
      <c r="E35" s="197">
        <v>1</v>
      </c>
      <c r="F35" s="197">
        <v>1</v>
      </c>
      <c r="G35" s="269">
        <f t="shared" si="0"/>
        <v>6460</v>
      </c>
      <c r="I35" s="274"/>
    </row>
    <row r="36" spans="2:9" s="198" customFormat="1">
      <c r="B36" s="526"/>
      <c r="C36" s="223"/>
      <c r="D36" s="197"/>
      <c r="E36" s="197"/>
      <c r="F36" s="197"/>
      <c r="G36" s="269">
        <f t="shared" si="0"/>
        <v>0</v>
      </c>
    </row>
    <row r="37" spans="2:9" s="198" customFormat="1" ht="13.5" thickBot="1">
      <c r="B37" s="526"/>
      <c r="C37" s="223"/>
      <c r="D37" s="197"/>
      <c r="E37" s="197"/>
      <c r="F37" s="197"/>
      <c r="G37" s="269">
        <f t="shared" si="0"/>
        <v>0</v>
      </c>
    </row>
    <row r="38" spans="2:9" s="198" customFormat="1" ht="11.25" hidden="1" customHeight="1">
      <c r="B38" s="525" t="s">
        <v>287</v>
      </c>
      <c r="C38" s="223"/>
      <c r="D38" s="197"/>
      <c r="E38" s="197"/>
      <c r="F38" s="197"/>
      <c r="G38" s="269">
        <f t="shared" si="0"/>
        <v>0</v>
      </c>
      <c r="I38" s="274"/>
    </row>
    <row r="39" spans="2:9" s="198" customFormat="1" hidden="1">
      <c r="B39" s="526"/>
      <c r="C39" s="223"/>
      <c r="D39" s="197"/>
      <c r="E39" s="197"/>
      <c r="F39" s="197"/>
      <c r="G39" s="269">
        <f t="shared" si="0"/>
        <v>0</v>
      </c>
    </row>
    <row r="40" spans="2:9" s="198" customFormat="1" hidden="1">
      <c r="B40" s="526"/>
      <c r="C40" s="223"/>
      <c r="D40" s="197"/>
      <c r="E40" s="197"/>
      <c r="F40" s="197"/>
      <c r="G40" s="269">
        <f t="shared" si="0"/>
        <v>0</v>
      </c>
    </row>
    <row r="41" spans="2:9" s="198" customFormat="1" hidden="1">
      <c r="B41" s="526"/>
      <c r="C41" s="332"/>
      <c r="D41" s="333"/>
      <c r="E41" s="333"/>
      <c r="F41" s="333"/>
      <c r="G41" s="276">
        <f t="shared" si="0"/>
        <v>0</v>
      </c>
    </row>
    <row r="42" spans="2:9" s="198" customFormat="1" hidden="1">
      <c r="B42" s="336"/>
      <c r="C42" s="197"/>
      <c r="D42" s="197"/>
      <c r="E42" s="197"/>
      <c r="F42" s="197"/>
      <c r="G42" s="276">
        <f t="shared" si="0"/>
        <v>0</v>
      </c>
    </row>
    <row r="43" spans="2:9" s="198" customFormat="1" ht="17.25" hidden="1" customHeight="1">
      <c r="B43" s="336"/>
      <c r="C43" s="197"/>
      <c r="D43" s="197"/>
      <c r="E43" s="197"/>
      <c r="F43" s="197"/>
      <c r="G43" s="276">
        <f t="shared" si="0"/>
        <v>0</v>
      </c>
    </row>
    <row r="44" spans="2:9" s="198" customFormat="1" hidden="1">
      <c r="B44" s="336"/>
      <c r="C44" s="197"/>
      <c r="D44" s="197"/>
      <c r="E44" s="197"/>
      <c r="F44" s="197"/>
      <c r="G44" s="276">
        <f t="shared" si="0"/>
        <v>0</v>
      </c>
    </row>
    <row r="45" spans="2:9" s="198" customFormat="1" ht="13.5" hidden="1" thickBot="1">
      <c r="B45" s="337"/>
      <c r="C45" s="210"/>
      <c r="D45" s="210"/>
      <c r="E45" s="210"/>
      <c r="F45" s="210"/>
      <c r="G45" s="335">
        <f t="shared" si="0"/>
        <v>0</v>
      </c>
      <c r="I45" s="274"/>
    </row>
    <row r="46" spans="2:9" s="198" customFormat="1" ht="25.5">
      <c r="B46" s="202" t="s">
        <v>246</v>
      </c>
      <c r="C46" s="226"/>
      <c r="D46" s="203"/>
      <c r="E46" s="203"/>
      <c r="F46" s="203"/>
      <c r="G46" s="334">
        <f>SUM(G47:G58)</f>
        <v>19400</v>
      </c>
    </row>
    <row r="47" spans="2:9" s="198" customFormat="1" ht="27.75" customHeight="1">
      <c r="B47" s="204" t="s">
        <v>327</v>
      </c>
      <c r="C47" s="223"/>
      <c r="D47" s="197">
        <v>1</v>
      </c>
      <c r="E47" s="197">
        <v>1</v>
      </c>
      <c r="F47" s="197">
        <v>1</v>
      </c>
      <c r="G47" s="269">
        <f t="shared" ref="G47:G56" si="5">ROUND(C47*D47*E47*F47,2)</f>
        <v>0</v>
      </c>
    </row>
    <row r="48" spans="2:9" s="198" customFormat="1" ht="12.75" customHeight="1">
      <c r="B48" s="204" t="s">
        <v>331</v>
      </c>
      <c r="C48" s="223">
        <v>3200</v>
      </c>
      <c r="D48" s="197">
        <v>1</v>
      </c>
      <c r="E48" s="197">
        <v>1</v>
      </c>
      <c r="F48" s="197">
        <v>1</v>
      </c>
      <c r="G48" s="269">
        <f t="shared" si="5"/>
        <v>3200</v>
      </c>
    </row>
    <row r="49" spans="2:9" s="198" customFormat="1">
      <c r="B49" s="204" t="s">
        <v>276</v>
      </c>
      <c r="C49" s="223">
        <v>7200</v>
      </c>
      <c r="D49" s="197">
        <v>1</v>
      </c>
      <c r="E49" s="197">
        <v>1</v>
      </c>
      <c r="F49" s="197">
        <v>1</v>
      </c>
      <c r="G49" s="269">
        <f t="shared" si="5"/>
        <v>7200</v>
      </c>
    </row>
    <row r="50" spans="2:9" s="198" customFormat="1" ht="12.75" customHeight="1">
      <c r="B50" s="204" t="s">
        <v>330</v>
      </c>
      <c r="C50" s="223"/>
      <c r="D50" s="197">
        <v>1</v>
      </c>
      <c r="E50" s="197">
        <v>1</v>
      </c>
      <c r="F50" s="197">
        <v>1</v>
      </c>
      <c r="G50" s="269">
        <f t="shared" si="5"/>
        <v>0</v>
      </c>
    </row>
    <row r="51" spans="2:9" s="198" customFormat="1" ht="12.75" customHeight="1">
      <c r="B51" s="204" t="s">
        <v>247</v>
      </c>
      <c r="C51" s="223"/>
      <c r="D51" s="197">
        <v>1</v>
      </c>
      <c r="E51" s="197">
        <v>1</v>
      </c>
      <c r="F51" s="197">
        <v>1</v>
      </c>
      <c r="G51" s="269">
        <f t="shared" si="5"/>
        <v>0</v>
      </c>
    </row>
    <row r="52" spans="2:9" s="198" customFormat="1">
      <c r="B52" s="204" t="s">
        <v>387</v>
      </c>
      <c r="C52" s="223">
        <v>9000</v>
      </c>
      <c r="D52" s="197">
        <v>1</v>
      </c>
      <c r="E52" s="197">
        <v>1</v>
      </c>
      <c r="F52" s="197">
        <v>1</v>
      </c>
      <c r="G52" s="269">
        <f t="shared" si="5"/>
        <v>9000</v>
      </c>
    </row>
    <row r="53" spans="2:9" s="198" customFormat="1" ht="12.75" hidden="1" customHeight="1">
      <c r="B53" s="204" t="s">
        <v>248</v>
      </c>
      <c r="C53" s="223"/>
      <c r="D53" s="197"/>
      <c r="E53" s="197"/>
      <c r="F53" s="197"/>
      <c r="G53" s="269">
        <f t="shared" si="5"/>
        <v>0</v>
      </c>
    </row>
    <row r="54" spans="2:9" ht="13.5" hidden="1" customHeight="1">
      <c r="B54" s="204"/>
      <c r="C54" s="223"/>
      <c r="D54" s="197"/>
      <c r="E54" s="197"/>
      <c r="F54" s="197"/>
      <c r="G54" s="269">
        <f t="shared" si="5"/>
        <v>0</v>
      </c>
    </row>
    <row r="55" spans="2:9" ht="13.5" hidden="1" customHeight="1">
      <c r="B55" s="204"/>
      <c r="C55" s="223"/>
      <c r="D55" s="197"/>
      <c r="E55" s="197"/>
      <c r="F55" s="197"/>
      <c r="G55" s="269">
        <f t="shared" si="5"/>
        <v>0</v>
      </c>
    </row>
    <row r="56" spans="2:9" hidden="1">
      <c r="B56" s="204"/>
      <c r="C56" s="223"/>
      <c r="D56" s="197"/>
      <c r="E56" s="197"/>
      <c r="F56" s="197"/>
      <c r="G56" s="269">
        <f t="shared" si="5"/>
        <v>0</v>
      </c>
    </row>
    <row r="57" spans="2:9" hidden="1">
      <c r="B57" s="89"/>
      <c r="C57" s="227"/>
      <c r="D57" s="26"/>
      <c r="E57" s="26"/>
      <c r="F57" s="26"/>
      <c r="G57" s="269">
        <f t="shared" si="0"/>
        <v>0</v>
      </c>
    </row>
    <row r="58" spans="2:9" ht="13.5" thickBot="1">
      <c r="B58" s="72"/>
      <c r="C58" s="228"/>
      <c r="D58" s="92"/>
      <c r="E58" s="92"/>
      <c r="F58" s="92"/>
      <c r="G58" s="335">
        <f t="shared" si="0"/>
        <v>0</v>
      </c>
      <c r="I58" s="30"/>
    </row>
    <row r="59" spans="2:9">
      <c r="B59" s="94"/>
      <c r="C59" s="229"/>
      <c r="D59" s="88"/>
      <c r="E59" s="88"/>
      <c r="F59" s="88"/>
      <c r="G59" s="95"/>
      <c r="H59" s="88"/>
    </row>
    <row r="60" spans="2:9">
      <c r="B60" s="94"/>
      <c r="C60" s="229"/>
      <c r="D60" s="88"/>
      <c r="E60" s="88"/>
      <c r="F60" s="88"/>
      <c r="G60" s="88"/>
    </row>
    <row r="61" spans="2:9" ht="17.25" customHeight="1">
      <c r="B61" s="39"/>
    </row>
    <row r="62" spans="2:9" s="198" customFormat="1" ht="32.25" customHeight="1">
      <c r="B62" s="520" t="s">
        <v>151</v>
      </c>
      <c r="C62" s="521"/>
      <c r="D62" s="521"/>
      <c r="E62" s="521"/>
      <c r="F62" s="521"/>
      <c r="G62" s="521"/>
    </row>
    <row r="63" spans="2:9" s="198" customFormat="1" ht="13.5" thickBot="1">
      <c r="B63" s="195"/>
      <c r="C63" s="230"/>
    </row>
    <row r="64" spans="2:9" s="198" customFormat="1" ht="25.5">
      <c r="B64" s="205"/>
      <c r="C64" s="231" t="s">
        <v>143</v>
      </c>
      <c r="D64" s="206" t="s">
        <v>144</v>
      </c>
      <c r="E64" s="206" t="s">
        <v>116</v>
      </c>
      <c r="F64" s="207" t="s">
        <v>117</v>
      </c>
      <c r="G64" s="208" t="s">
        <v>145</v>
      </c>
    </row>
    <row r="65" spans="2:9" s="241" customFormat="1" ht="25.5">
      <c r="B65" s="196" t="s">
        <v>152</v>
      </c>
      <c r="C65" s="372">
        <v>247.8</v>
      </c>
      <c r="D65" s="213">
        <v>2</v>
      </c>
      <c r="E65" s="213">
        <v>1</v>
      </c>
      <c r="F65" s="213">
        <v>1</v>
      </c>
      <c r="G65" s="296">
        <f t="shared" ref="G65:G75" si="6">ROUND(C65*D65*E65*F65,2)</f>
        <v>495.6</v>
      </c>
    </row>
    <row r="66" spans="2:9" s="241" customFormat="1" ht="25.5">
      <c r="B66" s="196" t="s">
        <v>152</v>
      </c>
      <c r="C66" s="372">
        <v>247.8</v>
      </c>
      <c r="D66" s="213">
        <v>1</v>
      </c>
      <c r="E66" s="213">
        <v>1</v>
      </c>
      <c r="F66" s="213">
        <v>1</v>
      </c>
      <c r="G66" s="296">
        <f t="shared" si="6"/>
        <v>247.8</v>
      </c>
    </row>
    <row r="67" spans="2:9" s="241" customFormat="1" ht="25.5">
      <c r="B67" s="196" t="s">
        <v>152</v>
      </c>
      <c r="C67" s="372">
        <v>247.8</v>
      </c>
      <c r="D67" s="213">
        <v>2</v>
      </c>
      <c r="E67" s="213">
        <v>12</v>
      </c>
      <c r="F67" s="213">
        <v>1</v>
      </c>
      <c r="G67" s="296">
        <f t="shared" ref="G67:G68" si="7">ROUND(C67*D67*E67*F67,2)</f>
        <v>5947.2</v>
      </c>
    </row>
    <row r="68" spans="2:9" s="241" customFormat="1" ht="25.5">
      <c r="B68" s="196" t="s">
        <v>152</v>
      </c>
      <c r="C68" s="372">
        <v>247.8</v>
      </c>
      <c r="D68" s="213">
        <v>1</v>
      </c>
      <c r="E68" s="213">
        <v>12</v>
      </c>
      <c r="F68" s="213">
        <v>1</v>
      </c>
      <c r="G68" s="296">
        <f t="shared" si="7"/>
        <v>2973.6</v>
      </c>
    </row>
    <row r="69" spans="2:9" s="241" customFormat="1">
      <c r="B69" s="196" t="s">
        <v>153</v>
      </c>
      <c r="C69" s="373">
        <v>930.57899999999995</v>
      </c>
      <c r="D69" s="213">
        <v>0.56999999999999995</v>
      </c>
      <c r="E69" s="213">
        <v>1</v>
      </c>
      <c r="F69" s="213">
        <v>1</v>
      </c>
      <c r="G69" s="371">
        <f>ROUND(C69*D69*E69*F69,2)</f>
        <v>530.42999999999995</v>
      </c>
      <c r="H69" s="277"/>
      <c r="I69" s="277"/>
    </row>
    <row r="70" spans="2:9" s="241" customFormat="1">
      <c r="B70" s="196" t="s">
        <v>153</v>
      </c>
      <c r="C70" s="373">
        <v>482.80500000000001</v>
      </c>
      <c r="D70" s="213">
        <v>0.61</v>
      </c>
      <c r="E70" s="213">
        <v>12</v>
      </c>
      <c r="F70" s="213">
        <v>1</v>
      </c>
      <c r="G70" s="371">
        <f t="shared" ref="G70:G71" si="8">ROUND(C70*D70*E70*F70,2)</f>
        <v>3534.13</v>
      </c>
      <c r="H70" s="277"/>
      <c r="I70" s="277"/>
    </row>
    <row r="71" spans="2:9" s="241" customFormat="1">
      <c r="B71" s="196" t="s">
        <v>153</v>
      </c>
      <c r="C71" s="373">
        <v>51.7209</v>
      </c>
      <c r="D71" s="213">
        <v>0.61</v>
      </c>
      <c r="E71" s="213">
        <v>12</v>
      </c>
      <c r="F71" s="213">
        <v>1</v>
      </c>
      <c r="G71" s="297">
        <f t="shared" si="8"/>
        <v>378.6</v>
      </c>
      <c r="H71" s="277"/>
      <c r="I71" s="277"/>
    </row>
    <row r="72" spans="2:9" s="241" customFormat="1">
      <c r="B72" s="196" t="s">
        <v>236</v>
      </c>
      <c r="C72" s="223">
        <v>1856.14</v>
      </c>
      <c r="D72" s="213">
        <v>2</v>
      </c>
      <c r="E72" s="213">
        <v>1</v>
      </c>
      <c r="F72" s="213">
        <v>1</v>
      </c>
      <c r="G72" s="296">
        <f t="shared" si="6"/>
        <v>3712.28</v>
      </c>
    </row>
    <row r="73" spans="2:9" s="241" customFormat="1">
      <c r="B73" s="196" t="s">
        <v>236</v>
      </c>
      <c r="C73" s="223">
        <v>1856.14</v>
      </c>
      <c r="D73" s="213">
        <v>2</v>
      </c>
      <c r="E73" s="213">
        <v>12</v>
      </c>
      <c r="F73" s="213">
        <v>1</v>
      </c>
      <c r="G73" s="296">
        <f t="shared" si="6"/>
        <v>44547.360000000001</v>
      </c>
    </row>
    <row r="74" spans="2:9" s="241" customFormat="1">
      <c r="B74" s="196" t="s">
        <v>236</v>
      </c>
      <c r="C74" s="223"/>
      <c r="D74" s="213"/>
      <c r="E74" s="213">
        <v>12</v>
      </c>
      <c r="F74" s="213">
        <v>1</v>
      </c>
      <c r="G74" s="296">
        <f t="shared" si="6"/>
        <v>0</v>
      </c>
    </row>
    <row r="75" spans="2:9" s="241" customFormat="1">
      <c r="B75" s="196" t="s">
        <v>236</v>
      </c>
      <c r="C75" s="223"/>
      <c r="D75" s="213"/>
      <c r="E75" s="213">
        <v>12</v>
      </c>
      <c r="F75" s="213">
        <v>1</v>
      </c>
      <c r="G75" s="296">
        <f t="shared" si="6"/>
        <v>0</v>
      </c>
    </row>
    <row r="76" spans="2:9" s="198" customFormat="1">
      <c r="B76" s="196" t="s">
        <v>154</v>
      </c>
      <c r="C76" s="223"/>
      <c r="D76" s="197"/>
      <c r="E76" s="197"/>
      <c r="F76" s="197"/>
      <c r="G76" s="298">
        <f>ROUND(SUM(G65:G75),0)</f>
        <v>62367</v>
      </c>
    </row>
    <row r="77" spans="2:9" s="198" customFormat="1" ht="27" customHeight="1" thickBot="1">
      <c r="B77" s="209" t="s">
        <v>155</v>
      </c>
      <c r="C77" s="232"/>
      <c r="D77" s="210"/>
      <c r="E77" s="210"/>
      <c r="F77" s="210"/>
      <c r="G77" s="211">
        <f>ROUND(C77*D77*E77*F77,2)</f>
        <v>0</v>
      </c>
    </row>
    <row r="78" spans="2:9" s="198" customFormat="1">
      <c r="B78" s="195"/>
      <c r="C78" s="230"/>
    </row>
    <row r="79" spans="2:9">
      <c r="B79" s="39"/>
    </row>
    <row r="81" spans="2:7" ht="18.75">
      <c r="B81" s="100" t="s">
        <v>156</v>
      </c>
      <c r="C81" s="233"/>
      <c r="D81" s="101"/>
      <c r="E81" s="102"/>
    </row>
    <row r="82" spans="2:7" ht="45">
      <c r="B82" s="103" t="s">
        <v>25</v>
      </c>
      <c r="C82" s="234" t="s">
        <v>144</v>
      </c>
      <c r="D82" s="104" t="s">
        <v>143</v>
      </c>
      <c r="E82" s="103" t="s">
        <v>157</v>
      </c>
    </row>
    <row r="83" spans="2:7" ht="15">
      <c r="B83" s="105" t="s">
        <v>158</v>
      </c>
      <c r="C83" s="235">
        <v>622</v>
      </c>
      <c r="D83" s="257">
        <v>379.35</v>
      </c>
      <c r="E83" s="227">
        <f>C83*D83+4.3</f>
        <v>235960</v>
      </c>
    </row>
    <row r="84" spans="2:7" ht="15" hidden="1">
      <c r="B84" s="105"/>
      <c r="C84" s="235"/>
      <c r="D84" s="106"/>
      <c r="E84" s="227">
        <f t="shared" ref="E84:E90" si="9">C84*D84</f>
        <v>0</v>
      </c>
    </row>
    <row r="85" spans="2:7" ht="15" hidden="1">
      <c r="B85" s="106"/>
      <c r="C85" s="235"/>
      <c r="D85" s="106"/>
      <c r="E85" s="227">
        <f t="shared" si="9"/>
        <v>0</v>
      </c>
    </row>
    <row r="86" spans="2:7" ht="15" hidden="1">
      <c r="B86" s="106"/>
      <c r="C86" s="235"/>
      <c r="D86" s="106"/>
      <c r="E86" s="227">
        <f t="shared" si="9"/>
        <v>0</v>
      </c>
    </row>
    <row r="87" spans="2:7" ht="15" hidden="1">
      <c r="B87" s="106"/>
      <c r="C87" s="235"/>
      <c r="D87" s="106"/>
      <c r="E87" s="227">
        <f t="shared" si="9"/>
        <v>0</v>
      </c>
    </row>
    <row r="88" spans="2:7" ht="15" hidden="1">
      <c r="B88" s="106"/>
      <c r="C88" s="235"/>
      <c r="D88" s="106"/>
      <c r="E88" s="227">
        <f t="shared" si="9"/>
        <v>0</v>
      </c>
    </row>
    <row r="89" spans="2:7" ht="15" hidden="1">
      <c r="B89" s="106"/>
      <c r="C89" s="235"/>
      <c r="D89" s="106"/>
      <c r="E89" s="227">
        <f t="shared" si="9"/>
        <v>0</v>
      </c>
    </row>
    <row r="90" spans="2:7" ht="15" hidden="1">
      <c r="B90" s="106"/>
      <c r="C90" s="235"/>
      <c r="D90" s="106"/>
      <c r="E90" s="227">
        <f t="shared" si="9"/>
        <v>0</v>
      </c>
    </row>
    <row r="91" spans="2:7" ht="14.25">
      <c r="B91" s="107" t="s">
        <v>124</v>
      </c>
      <c r="C91" s="236"/>
      <c r="D91" s="107"/>
      <c r="E91" s="227">
        <f>ROUND(SUM(E83:E90),2)</f>
        <v>235960</v>
      </c>
    </row>
    <row r="92" spans="2:7" ht="14.25">
      <c r="B92" s="108"/>
      <c r="C92" s="237"/>
      <c r="D92" s="108"/>
      <c r="E92" s="88"/>
    </row>
    <row r="93" spans="2:7" ht="14.25">
      <c r="B93" s="108"/>
      <c r="C93" s="237"/>
      <c r="D93" s="108"/>
      <c r="E93" s="88"/>
    </row>
    <row r="94" spans="2:7" ht="18.75">
      <c r="B94" s="522" t="s">
        <v>159</v>
      </c>
      <c r="C94" s="523"/>
      <c r="D94" s="523"/>
      <c r="E94" s="523"/>
      <c r="F94" s="523"/>
      <c r="G94" s="523"/>
    </row>
    <row r="95" spans="2:7" ht="13.5" thickBot="1"/>
    <row r="96" spans="2:7" ht="26.25" thickBot="1">
      <c r="B96" s="338"/>
      <c r="C96" s="339" t="s">
        <v>143</v>
      </c>
      <c r="D96" s="340" t="s">
        <v>144</v>
      </c>
      <c r="E96" s="340" t="s">
        <v>116</v>
      </c>
      <c r="F96" s="341" t="s">
        <v>117</v>
      </c>
      <c r="G96" s="342" t="s">
        <v>145</v>
      </c>
    </row>
    <row r="97" spans="2:10">
      <c r="B97" s="343" t="s">
        <v>249</v>
      </c>
      <c r="C97" s="344"/>
      <c r="D97" s="345"/>
      <c r="E97" s="345"/>
      <c r="F97" s="345"/>
      <c r="G97" s="346">
        <f>SUM(G98:G101)</f>
        <v>170350</v>
      </c>
      <c r="H97" s="25" t="s">
        <v>147</v>
      </c>
    </row>
    <row r="98" spans="2:10">
      <c r="B98" s="56" t="s">
        <v>250</v>
      </c>
      <c r="C98" s="227">
        <v>1250</v>
      </c>
      <c r="D98" s="26">
        <v>108</v>
      </c>
      <c r="E98" s="26">
        <v>1</v>
      </c>
      <c r="F98" s="26">
        <v>1</v>
      </c>
      <c r="G98" s="242">
        <f t="shared" ref="G98:G111" si="10">ROUND(C98*D98*E98*F98,2)</f>
        <v>135000</v>
      </c>
    </row>
    <row r="99" spans="2:10">
      <c r="B99" s="56" t="s">
        <v>251</v>
      </c>
      <c r="C99" s="227">
        <v>1050</v>
      </c>
      <c r="D99" s="26">
        <v>5</v>
      </c>
      <c r="E99" s="26">
        <v>1</v>
      </c>
      <c r="F99" s="26">
        <v>1</v>
      </c>
      <c r="G99" s="242">
        <f t="shared" si="10"/>
        <v>5250</v>
      </c>
      <c r="H99" s="25" t="s">
        <v>147</v>
      </c>
    </row>
    <row r="100" spans="2:10">
      <c r="B100" s="56" t="s">
        <v>252</v>
      </c>
      <c r="C100" s="227">
        <v>150</v>
      </c>
      <c r="D100" s="26">
        <v>50</v>
      </c>
      <c r="E100" s="26">
        <v>1</v>
      </c>
      <c r="F100" s="26">
        <v>1</v>
      </c>
      <c r="G100" s="242">
        <f t="shared" si="10"/>
        <v>7500</v>
      </c>
    </row>
    <row r="101" spans="2:10" ht="13.5" thickBot="1">
      <c r="B101" s="72" t="s">
        <v>253</v>
      </c>
      <c r="C101" s="228">
        <v>200</v>
      </c>
      <c r="D101" s="92">
        <v>113</v>
      </c>
      <c r="E101" s="92">
        <v>1</v>
      </c>
      <c r="F101" s="92">
        <v>1</v>
      </c>
      <c r="G101" s="347">
        <f t="shared" ref="G101:G109" si="11">ROUND(C101*D101*E101*F101,2)</f>
        <v>22600</v>
      </c>
      <c r="H101" s="25" t="s">
        <v>147</v>
      </c>
    </row>
    <row r="102" spans="2:10">
      <c r="B102" s="217" t="s">
        <v>254</v>
      </c>
      <c r="C102" s="238">
        <v>7855.48</v>
      </c>
      <c r="D102" s="218">
        <v>1</v>
      </c>
      <c r="E102" s="218">
        <v>1</v>
      </c>
      <c r="F102" s="218">
        <v>1</v>
      </c>
      <c r="G102" s="243">
        <f t="shared" si="11"/>
        <v>7855.48</v>
      </c>
    </row>
    <row r="103" spans="2:10">
      <c r="B103" s="217" t="s">
        <v>160</v>
      </c>
      <c r="C103" s="238">
        <v>4900</v>
      </c>
      <c r="D103" s="218">
        <v>1</v>
      </c>
      <c r="E103" s="218">
        <v>1</v>
      </c>
      <c r="F103" s="218">
        <v>1</v>
      </c>
      <c r="G103" s="243">
        <f t="shared" si="11"/>
        <v>4900</v>
      </c>
      <c r="H103" s="25" t="s">
        <v>147</v>
      </c>
    </row>
    <row r="104" spans="2:10" ht="12.75" customHeight="1">
      <c r="B104" s="217" t="s">
        <v>341</v>
      </c>
      <c r="C104" s="238">
        <v>474.36</v>
      </c>
      <c r="D104" s="218">
        <v>1</v>
      </c>
      <c r="E104" s="218">
        <v>12</v>
      </c>
      <c r="F104" s="218">
        <v>1</v>
      </c>
      <c r="G104" s="243">
        <f t="shared" si="11"/>
        <v>5692.32</v>
      </c>
      <c r="H104" s="25" t="s">
        <v>147</v>
      </c>
      <c r="J104" s="34"/>
    </row>
    <row r="105" spans="2:10">
      <c r="B105" s="217" t="s">
        <v>273</v>
      </c>
      <c r="C105" s="238"/>
      <c r="D105" s="218"/>
      <c r="E105" s="218">
        <v>1</v>
      </c>
      <c r="F105" s="218">
        <v>1</v>
      </c>
      <c r="G105" s="243">
        <f t="shared" si="11"/>
        <v>0</v>
      </c>
    </row>
    <row r="106" spans="2:10">
      <c r="B106" s="56" t="s">
        <v>256</v>
      </c>
      <c r="C106" s="227">
        <v>75218</v>
      </c>
      <c r="D106" s="26">
        <v>1</v>
      </c>
      <c r="E106" s="26">
        <v>1</v>
      </c>
      <c r="F106" s="26">
        <v>1</v>
      </c>
      <c r="G106" s="242">
        <f t="shared" si="11"/>
        <v>75218</v>
      </c>
      <c r="H106" s="25" t="s">
        <v>147</v>
      </c>
    </row>
    <row r="107" spans="2:10" ht="12.75" customHeight="1">
      <c r="B107" s="327" t="s">
        <v>340</v>
      </c>
      <c r="C107" s="227">
        <f>1063219.1+260</f>
        <v>1063479.1000000001</v>
      </c>
      <c r="D107" s="26">
        <v>1</v>
      </c>
      <c r="E107" s="26">
        <v>1</v>
      </c>
      <c r="F107" s="26">
        <v>1</v>
      </c>
      <c r="G107" s="244">
        <f t="shared" si="11"/>
        <v>1063479.1000000001</v>
      </c>
      <c r="H107" s="25" t="s">
        <v>147</v>
      </c>
    </row>
    <row r="108" spans="2:10" ht="12.75" customHeight="1">
      <c r="B108" s="83" t="s">
        <v>255</v>
      </c>
      <c r="C108" s="239"/>
      <c r="D108" s="90"/>
      <c r="E108" s="26"/>
      <c r="F108" s="90"/>
      <c r="G108" s="244">
        <f t="shared" si="11"/>
        <v>0</v>
      </c>
      <c r="H108" s="25" t="s">
        <v>147</v>
      </c>
    </row>
    <row r="109" spans="2:10" ht="12.75" hidden="1" customHeight="1">
      <c r="B109" s="83"/>
      <c r="C109" s="239"/>
      <c r="D109" s="90"/>
      <c r="E109" s="26"/>
      <c r="F109" s="90"/>
      <c r="G109" s="244">
        <f t="shared" si="11"/>
        <v>0</v>
      </c>
    </row>
    <row r="110" spans="2:10" ht="12.75" hidden="1" customHeight="1">
      <c r="B110" s="83"/>
      <c r="C110" s="239"/>
      <c r="D110" s="90"/>
      <c r="E110" s="26"/>
      <c r="F110" s="90"/>
      <c r="G110" s="244">
        <f t="shared" si="10"/>
        <v>0</v>
      </c>
    </row>
    <row r="111" spans="2:10" hidden="1">
      <c r="B111" s="83"/>
      <c r="C111" s="239"/>
      <c r="D111" s="90"/>
      <c r="E111" s="90"/>
      <c r="F111" s="90"/>
      <c r="G111" s="244">
        <f t="shared" si="10"/>
        <v>0</v>
      </c>
      <c r="H111" s="25" t="s">
        <v>147</v>
      </c>
    </row>
    <row r="112" spans="2:10" ht="13.5" thickBot="1">
      <c r="B112" s="328" t="s">
        <v>322</v>
      </c>
      <c r="C112" s="326"/>
      <c r="D112" s="92"/>
      <c r="E112" s="92"/>
      <c r="F112" s="92"/>
      <c r="G112" s="245">
        <f>C112</f>
        <v>0</v>
      </c>
    </row>
    <row r="113" spans="2:83">
      <c r="G113" s="219"/>
      <c r="I113" s="110"/>
    </row>
    <row r="115" spans="2:83" s="73" customFormat="1">
      <c r="B115" s="35" t="s">
        <v>272</v>
      </c>
      <c r="C115" s="240"/>
      <c r="D115" s="137"/>
      <c r="E115" s="369" t="s">
        <v>382</v>
      </c>
      <c r="F115" s="80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  <c r="AJ115" s="75"/>
      <c r="AK115" s="75"/>
      <c r="AL115" s="75"/>
      <c r="AM115" s="75"/>
      <c r="AN115" s="75"/>
      <c r="AO115" s="75"/>
      <c r="AP115" s="75"/>
      <c r="AQ115" s="75"/>
      <c r="AR115" s="75"/>
      <c r="AS115" s="75"/>
      <c r="AT115" s="75"/>
      <c r="AU115" s="75"/>
      <c r="AV115" s="75"/>
      <c r="AW115" s="75"/>
      <c r="AX115" s="75"/>
      <c r="AY115" s="75"/>
      <c r="AZ115" s="75"/>
      <c r="BA115" s="75"/>
      <c r="BB115" s="75"/>
      <c r="BC115" s="75"/>
      <c r="BD115" s="75"/>
      <c r="BE115" s="75"/>
      <c r="BF115" s="75"/>
      <c r="BG115" s="75"/>
      <c r="BH115" s="75"/>
      <c r="BI115" s="75"/>
      <c r="BJ115" s="75"/>
      <c r="BK115" s="75"/>
      <c r="BL115" s="75"/>
      <c r="BM115" s="75"/>
      <c r="BN115" s="75"/>
      <c r="BO115" s="75"/>
      <c r="BP115" s="75"/>
      <c r="BQ115" s="75"/>
      <c r="BR115" s="75"/>
      <c r="BS115" s="75"/>
      <c r="BT115" s="75"/>
      <c r="BU115" s="75"/>
      <c r="BV115" s="75"/>
      <c r="BW115" s="75"/>
      <c r="BX115" s="75"/>
      <c r="BY115" s="75"/>
      <c r="BZ115" s="75"/>
      <c r="CA115" s="75"/>
      <c r="CB115" s="75"/>
      <c r="CC115" s="75"/>
      <c r="CD115" s="75"/>
      <c r="CE115" s="75"/>
    </row>
    <row r="116" spans="2:83" s="73" customFormat="1">
      <c r="C116" s="220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  <c r="AJ116" s="75"/>
      <c r="AK116" s="75"/>
      <c r="AL116" s="75"/>
      <c r="AM116" s="75"/>
      <c r="AN116" s="75"/>
      <c r="AO116" s="75"/>
      <c r="AP116" s="75"/>
      <c r="AQ116" s="75"/>
      <c r="AR116" s="75"/>
      <c r="AS116" s="75"/>
      <c r="AT116" s="75"/>
      <c r="AU116" s="75"/>
      <c r="AV116" s="75"/>
      <c r="AW116" s="75"/>
      <c r="AX116" s="75"/>
      <c r="AY116" s="75"/>
      <c r="AZ116" s="75"/>
      <c r="BA116" s="75"/>
      <c r="BB116" s="75"/>
      <c r="BC116" s="75"/>
      <c r="BD116" s="75"/>
      <c r="BE116" s="75"/>
      <c r="BF116" s="75"/>
      <c r="BG116" s="75"/>
      <c r="BH116" s="75"/>
      <c r="BI116" s="75"/>
      <c r="BJ116" s="75"/>
      <c r="BK116" s="75"/>
      <c r="BL116" s="75"/>
      <c r="BM116" s="75"/>
      <c r="BN116" s="75"/>
      <c r="BO116" s="75"/>
      <c r="BP116" s="75"/>
      <c r="BQ116" s="75"/>
      <c r="BR116" s="75"/>
      <c r="BS116" s="75"/>
      <c r="BT116" s="75"/>
      <c r="BU116" s="75"/>
      <c r="BV116" s="75"/>
      <c r="BW116" s="75"/>
      <c r="BX116" s="75"/>
      <c r="BY116" s="75"/>
      <c r="BZ116" s="75"/>
      <c r="CA116" s="75"/>
      <c r="CB116" s="75"/>
      <c r="CC116" s="75"/>
      <c r="CD116" s="75"/>
      <c r="CE116" s="75"/>
    </row>
    <row r="117" spans="2:83" s="73" customFormat="1">
      <c r="C117" s="220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  <c r="AJ117" s="75"/>
      <c r="AK117" s="75"/>
      <c r="AL117" s="75"/>
      <c r="AM117" s="75"/>
      <c r="AN117" s="75"/>
      <c r="AO117" s="75"/>
      <c r="AP117" s="75"/>
      <c r="AQ117" s="75"/>
      <c r="AR117" s="75"/>
      <c r="AS117" s="75"/>
      <c r="AT117" s="75"/>
      <c r="AU117" s="75"/>
      <c r="AV117" s="75"/>
      <c r="AW117" s="75"/>
      <c r="AX117" s="75"/>
      <c r="AY117" s="75"/>
      <c r="AZ117" s="75"/>
      <c r="BA117" s="75"/>
      <c r="BB117" s="75"/>
      <c r="BC117" s="75"/>
      <c r="BD117" s="75"/>
      <c r="BE117" s="75"/>
      <c r="BF117" s="75"/>
      <c r="BG117" s="75"/>
      <c r="BH117" s="75"/>
      <c r="BI117" s="75"/>
      <c r="BJ117" s="75"/>
      <c r="BK117" s="75"/>
      <c r="BL117" s="75"/>
      <c r="BM117" s="75"/>
      <c r="BN117" s="75"/>
      <c r="BO117" s="75"/>
      <c r="BP117" s="75"/>
      <c r="BQ117" s="75"/>
      <c r="BR117" s="75"/>
      <c r="BS117" s="75"/>
      <c r="BT117" s="75"/>
      <c r="BU117" s="75"/>
      <c r="BV117" s="75"/>
      <c r="BW117" s="75"/>
      <c r="BX117" s="75"/>
      <c r="BY117" s="75"/>
      <c r="BZ117" s="75"/>
      <c r="CA117" s="75"/>
      <c r="CB117" s="75"/>
      <c r="CC117" s="75"/>
      <c r="CD117" s="75"/>
      <c r="CE117" s="75"/>
    </row>
    <row r="118" spans="2:83" s="73" customFormat="1">
      <c r="B118" s="25" t="s">
        <v>237</v>
      </c>
      <c r="C118" s="240"/>
      <c r="D118" s="136"/>
      <c r="E118" s="369" t="s">
        <v>383</v>
      </c>
      <c r="F118" s="80" t="s">
        <v>137</v>
      </c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  <c r="AJ118" s="75"/>
      <c r="AK118" s="75"/>
      <c r="AL118" s="75"/>
      <c r="AM118" s="75"/>
      <c r="AN118" s="75"/>
      <c r="AO118" s="75"/>
      <c r="AP118" s="75"/>
      <c r="AQ118" s="75"/>
      <c r="AR118" s="75"/>
      <c r="AS118" s="75"/>
      <c r="AT118" s="75"/>
      <c r="AU118" s="75"/>
      <c r="AV118" s="75"/>
      <c r="AW118" s="75"/>
      <c r="AX118" s="75"/>
      <c r="AY118" s="75"/>
      <c r="AZ118" s="75"/>
      <c r="BA118" s="75"/>
      <c r="BB118" s="75"/>
      <c r="BC118" s="75"/>
      <c r="BD118" s="75"/>
      <c r="BE118" s="75"/>
      <c r="BF118" s="75"/>
      <c r="BG118" s="75"/>
      <c r="BH118" s="75"/>
      <c r="BI118" s="75"/>
      <c r="BJ118" s="75"/>
      <c r="BK118" s="75"/>
      <c r="BL118" s="75"/>
      <c r="BM118" s="75"/>
      <c r="BN118" s="75"/>
      <c r="BO118" s="75"/>
      <c r="BP118" s="75"/>
      <c r="BQ118" s="75"/>
      <c r="BR118" s="75"/>
      <c r="BS118" s="75"/>
      <c r="BT118" s="75"/>
      <c r="BU118" s="75"/>
      <c r="BV118" s="75"/>
      <c r="BW118" s="75"/>
      <c r="BX118" s="75"/>
      <c r="BY118" s="75"/>
      <c r="BZ118" s="75"/>
      <c r="CA118" s="75"/>
      <c r="CB118" s="75"/>
      <c r="CC118" s="75"/>
      <c r="CD118" s="75"/>
      <c r="CE118" s="75"/>
    </row>
    <row r="119" spans="2:83" s="73" customFormat="1">
      <c r="C119" s="220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  <c r="AJ119" s="75"/>
      <c r="AK119" s="75"/>
      <c r="AL119" s="75"/>
      <c r="AM119" s="75"/>
      <c r="AN119" s="75"/>
      <c r="AO119" s="75"/>
      <c r="AP119" s="75"/>
      <c r="AQ119" s="75"/>
      <c r="AR119" s="75"/>
      <c r="AS119" s="75"/>
      <c r="AT119" s="75"/>
      <c r="AU119" s="75"/>
      <c r="AV119" s="75"/>
      <c r="AW119" s="75"/>
      <c r="AX119" s="75"/>
      <c r="AY119" s="75"/>
      <c r="AZ119" s="75"/>
      <c r="BA119" s="75"/>
      <c r="BB119" s="75"/>
      <c r="BC119" s="75"/>
      <c r="BD119" s="75"/>
      <c r="BE119" s="75"/>
      <c r="BF119" s="75"/>
      <c r="BG119" s="75"/>
      <c r="BH119" s="75"/>
      <c r="BI119" s="75"/>
      <c r="BJ119" s="75"/>
      <c r="BK119" s="75"/>
      <c r="BL119" s="75"/>
      <c r="BM119" s="75"/>
      <c r="BN119" s="75"/>
      <c r="BO119" s="75"/>
      <c r="BP119" s="75"/>
      <c r="BQ119" s="75"/>
      <c r="BR119" s="75"/>
      <c r="BS119" s="75"/>
      <c r="BT119" s="75"/>
      <c r="BU119" s="75"/>
      <c r="BV119" s="75"/>
      <c r="BW119" s="75"/>
      <c r="BX119" s="75"/>
      <c r="BY119" s="75"/>
      <c r="BZ119" s="75"/>
      <c r="CA119" s="75"/>
      <c r="CB119" s="75"/>
      <c r="CC119" s="75"/>
      <c r="CD119" s="75"/>
      <c r="CE119" s="75"/>
    </row>
  </sheetData>
  <mergeCells count="6">
    <mergeCell ref="B62:G62"/>
    <mergeCell ref="B94:G94"/>
    <mergeCell ref="F1:G1"/>
    <mergeCell ref="B2:G2"/>
    <mergeCell ref="B35:B37"/>
    <mergeCell ref="B38:B41"/>
  </mergeCells>
  <pageMargins left="0" right="0" top="0.74803149606299213" bottom="0.74803149606299213" header="0.31496062992125984" footer="0.31496062992125984"/>
  <pageSetup paperSize="9" scale="96" orientation="portrait" r:id="rId1"/>
  <rowBreaks count="1" manualBreakCount="1">
    <brk id="60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D39"/>
  <sheetViews>
    <sheetView workbookViewId="0">
      <selection activeCell="J31" sqref="J31"/>
    </sheetView>
  </sheetViews>
  <sheetFormatPr defaultColWidth="9.140625" defaultRowHeight="12.75"/>
  <cols>
    <col min="1" max="1" width="23.42578125" style="25" customWidth="1"/>
    <col min="2" max="2" width="16.85546875" style="25" customWidth="1"/>
    <col min="3" max="3" width="12.85546875" style="25" customWidth="1"/>
    <col min="4" max="4" width="14.5703125" style="25" customWidth="1"/>
    <col min="5" max="5" width="13" style="25" customWidth="1"/>
    <col min="6" max="6" width="12" style="25" customWidth="1"/>
    <col min="7" max="16384" width="9.140625" style="25"/>
  </cols>
  <sheetData>
    <row r="1" spans="1:6">
      <c r="E1" s="486" t="s">
        <v>161</v>
      </c>
      <c r="F1" s="486"/>
    </row>
    <row r="2" spans="1:6" ht="18.75">
      <c r="A2" s="524" t="s">
        <v>162</v>
      </c>
      <c r="B2" s="524"/>
      <c r="C2" s="524"/>
      <c r="D2" s="524"/>
      <c r="E2" s="524"/>
      <c r="F2" s="524"/>
    </row>
    <row r="3" spans="1:6" s="88" customFormat="1">
      <c r="A3" s="87"/>
      <c r="B3" s="87"/>
      <c r="C3" s="87"/>
      <c r="D3" s="87"/>
      <c r="E3" s="87"/>
      <c r="F3" s="87"/>
    </row>
    <row r="4" spans="1:6" ht="13.5" thickBot="1">
      <c r="A4" s="87"/>
      <c r="B4" s="87"/>
      <c r="C4" s="87"/>
      <c r="D4" s="87"/>
      <c r="E4" s="87"/>
      <c r="F4" s="87"/>
    </row>
    <row r="5" spans="1:6" s="39" customFormat="1" ht="25.5">
      <c r="A5" s="96"/>
      <c r="B5" s="97" t="s">
        <v>143</v>
      </c>
      <c r="C5" s="97" t="s">
        <v>144</v>
      </c>
      <c r="D5" s="97" t="s">
        <v>116</v>
      </c>
      <c r="E5" s="53" t="s">
        <v>117</v>
      </c>
      <c r="F5" s="98" t="s">
        <v>145</v>
      </c>
    </row>
    <row r="6" spans="1:6">
      <c r="A6" s="111" t="s">
        <v>163</v>
      </c>
      <c r="B6" s="26"/>
      <c r="C6" s="26"/>
      <c r="D6" s="26"/>
      <c r="E6" s="26">
        <v>1</v>
      </c>
      <c r="F6" s="99">
        <f>ROUND(B6*C6*D6*E6,2)</f>
        <v>0</v>
      </c>
    </row>
    <row r="7" spans="1:6">
      <c r="A7" s="111" t="s">
        <v>164</v>
      </c>
      <c r="B7" s="26"/>
      <c r="C7" s="26"/>
      <c r="D7" s="26"/>
      <c r="E7" s="26">
        <v>1</v>
      </c>
      <c r="F7" s="99">
        <f>ROUND(B7*C7*D7*E7,2)</f>
        <v>0</v>
      </c>
    </row>
    <row r="8" spans="1:6" ht="13.5" thickBot="1">
      <c r="A8" s="91"/>
      <c r="B8" s="92"/>
      <c r="C8" s="92"/>
      <c r="D8" s="92"/>
      <c r="E8" s="92"/>
      <c r="F8" s="93"/>
    </row>
    <row r="9" spans="1:6" ht="32.25" customHeight="1">
      <c r="A9" s="524" t="s">
        <v>166</v>
      </c>
      <c r="B9" s="527"/>
      <c r="C9" s="527"/>
      <c r="D9" s="527"/>
      <c r="E9" s="527"/>
      <c r="F9" s="527"/>
    </row>
    <row r="10" spans="1:6" ht="13.5" thickBot="1">
      <c r="A10" s="39"/>
    </row>
    <row r="11" spans="1:6" ht="25.5">
      <c r="A11" s="96"/>
      <c r="B11" s="97" t="s">
        <v>143</v>
      </c>
      <c r="C11" s="97" t="s">
        <v>144</v>
      </c>
      <c r="D11" s="97" t="s">
        <v>116</v>
      </c>
      <c r="E11" s="53" t="s">
        <v>117</v>
      </c>
      <c r="F11" s="98" t="s">
        <v>145</v>
      </c>
    </row>
    <row r="12" spans="1:6">
      <c r="A12" s="111" t="s">
        <v>167</v>
      </c>
      <c r="B12" s="26"/>
      <c r="C12" s="26"/>
      <c r="D12" s="26"/>
      <c r="E12" s="26">
        <v>1</v>
      </c>
      <c r="F12" s="99">
        <f>ROUND(B12*C12*D12*E12,2)</f>
        <v>0</v>
      </c>
    </row>
    <row r="13" spans="1:6">
      <c r="A13" s="111" t="s">
        <v>168</v>
      </c>
      <c r="B13" s="26"/>
      <c r="C13" s="26"/>
      <c r="D13" s="26"/>
      <c r="E13" s="26">
        <v>1</v>
      </c>
      <c r="F13" s="99">
        <f>ROUND(B13*C13*D13*E13,2)</f>
        <v>0</v>
      </c>
    </row>
    <row r="14" spans="1:6">
      <c r="A14" s="111" t="s">
        <v>169</v>
      </c>
      <c r="B14" s="26"/>
      <c r="C14" s="26"/>
      <c r="D14" s="26"/>
      <c r="E14" s="26">
        <v>1</v>
      </c>
      <c r="F14" s="99">
        <f>ROUND(B14*C14*D14*E14,2)</f>
        <v>0</v>
      </c>
    </row>
    <row r="15" spans="1:6" ht="13.5" thickBot="1">
      <c r="A15" s="72" t="s">
        <v>154</v>
      </c>
      <c r="B15" s="92"/>
      <c r="C15" s="92"/>
      <c r="D15" s="92"/>
      <c r="E15" s="92"/>
      <c r="F15" s="93">
        <f>F12+F13+F14</f>
        <v>0</v>
      </c>
    </row>
    <row r="16" spans="1:6">
      <c r="A16" s="39"/>
    </row>
    <row r="17" spans="1:6">
      <c r="A17" s="39"/>
    </row>
    <row r="18" spans="1:6" ht="37.5" customHeight="1">
      <c r="A18" s="528" t="s">
        <v>170</v>
      </c>
      <c r="B18" s="529"/>
      <c r="C18" s="529"/>
      <c r="D18" s="529"/>
      <c r="E18" s="529"/>
      <c r="F18" s="530"/>
    </row>
    <row r="19" spans="1:6">
      <c r="A19" s="112"/>
    </row>
    <row r="20" spans="1:6" ht="13.5" thickBot="1">
      <c r="A20" s="112"/>
    </row>
    <row r="21" spans="1:6" ht="51">
      <c r="A21" s="113"/>
      <c r="B21" s="97" t="s">
        <v>171</v>
      </c>
      <c r="C21" s="97" t="s">
        <v>172</v>
      </c>
      <c r="D21" s="97"/>
      <c r="E21" s="97"/>
      <c r="F21" s="98" t="s">
        <v>173</v>
      </c>
    </row>
    <row r="22" spans="1:6">
      <c r="A22" s="111" t="s">
        <v>174</v>
      </c>
      <c r="B22" s="26"/>
      <c r="C22" s="26">
        <v>1</v>
      </c>
      <c r="D22" s="26"/>
      <c r="E22" s="26"/>
      <c r="F22" s="99">
        <f>ROUND(B22*C22,2)</f>
        <v>0</v>
      </c>
    </row>
    <row r="23" spans="1:6" ht="13.5" thickBot="1">
      <c r="A23" s="114"/>
      <c r="B23" s="92"/>
      <c r="C23" s="92"/>
      <c r="D23" s="92"/>
      <c r="E23" s="92"/>
      <c r="F23" s="93">
        <f>ROUND(B23*C23*D23*E23,2)</f>
        <v>0</v>
      </c>
    </row>
    <row r="26" spans="1:6" ht="18.75">
      <c r="A26" s="522" t="s">
        <v>175</v>
      </c>
      <c r="B26" s="523"/>
      <c r="C26" s="523"/>
      <c r="D26" s="523"/>
      <c r="E26" s="523"/>
      <c r="F26" s="523"/>
    </row>
    <row r="27" spans="1:6" ht="13.5" thickBot="1"/>
    <row r="28" spans="1:6" ht="25.5">
      <c r="A28" s="96"/>
      <c r="B28" s="97" t="s">
        <v>143</v>
      </c>
      <c r="C28" s="97" t="s">
        <v>144</v>
      </c>
      <c r="D28" s="97" t="s">
        <v>116</v>
      </c>
      <c r="E28" s="53" t="s">
        <v>117</v>
      </c>
      <c r="F28" s="98" t="s">
        <v>145</v>
      </c>
    </row>
    <row r="29" spans="1:6">
      <c r="A29" s="56"/>
      <c r="B29" s="26"/>
      <c r="C29" s="26"/>
      <c r="D29" s="26"/>
      <c r="E29" s="26"/>
      <c r="F29" s="99">
        <f>ROUND(B29*C29*D29*E29,2)</f>
        <v>0</v>
      </c>
    </row>
    <row r="30" spans="1:6">
      <c r="A30" s="56"/>
      <c r="B30" s="26"/>
      <c r="C30" s="26"/>
      <c r="D30" s="26"/>
      <c r="E30" s="26"/>
      <c r="F30" s="99">
        <f>ROUND(B30*C30*D30*E30,2)</f>
        <v>0</v>
      </c>
    </row>
    <row r="31" spans="1:6" ht="13.5" thickBot="1">
      <c r="A31" s="72"/>
      <c r="B31" s="92"/>
      <c r="C31" s="92"/>
      <c r="D31" s="92"/>
      <c r="E31" s="92"/>
      <c r="F31" s="93">
        <f>ROUND(B31*C31*D31*E31,2)</f>
        <v>0</v>
      </c>
    </row>
    <row r="35" spans="1:82" s="73" customFormat="1">
      <c r="A35" s="35" t="s">
        <v>272</v>
      </c>
      <c r="B35" s="136"/>
      <c r="C35" s="137"/>
      <c r="D35" s="369" t="s">
        <v>382</v>
      </c>
      <c r="E35" s="80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</row>
    <row r="36" spans="1:82" s="73" customFormat="1"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</row>
    <row r="37" spans="1:82" s="73" customFormat="1"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</row>
    <row r="38" spans="1:82" s="73" customFormat="1">
      <c r="A38" s="25" t="s">
        <v>237</v>
      </c>
      <c r="B38" s="136"/>
      <c r="C38" s="136"/>
      <c r="D38" s="369" t="s">
        <v>383</v>
      </c>
      <c r="E38" s="80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</row>
    <row r="39" spans="1:82" s="73" customFormat="1"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</row>
  </sheetData>
  <mergeCells count="5">
    <mergeCell ref="E1:F1"/>
    <mergeCell ref="A2:F2"/>
    <mergeCell ref="A9:F9"/>
    <mergeCell ref="A18:F18"/>
    <mergeCell ref="A26:F26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CD33"/>
  <sheetViews>
    <sheetView view="pageBreakPreview" zoomScaleSheetLayoutView="100" workbookViewId="0">
      <selection activeCell="G21" sqref="G21"/>
    </sheetView>
  </sheetViews>
  <sheetFormatPr defaultColWidth="9.140625" defaultRowHeight="12.75"/>
  <cols>
    <col min="1" max="1" width="3.140625" style="25" customWidth="1"/>
    <col min="2" max="2" width="27.7109375" style="112" customWidth="1"/>
    <col min="3" max="3" width="10.85546875" style="112" customWidth="1"/>
    <col min="4" max="4" width="13.42578125" style="25" customWidth="1"/>
    <col min="5" max="5" width="13.5703125" style="25" customWidth="1"/>
    <col min="6" max="6" width="10.28515625" style="25" customWidth="1"/>
    <col min="7" max="7" width="15.42578125" style="25" customWidth="1"/>
    <col min="8" max="8" width="10.28515625" style="25" customWidth="1"/>
    <col min="9" max="9" width="13" style="25" customWidth="1"/>
    <col min="10" max="10" width="11.7109375" style="25" bestFit="1" customWidth="1"/>
    <col min="11" max="11" width="14.7109375" style="25" customWidth="1"/>
    <col min="12" max="12" width="15.85546875" style="25" customWidth="1"/>
    <col min="13" max="16384" width="9.140625" style="25"/>
  </cols>
  <sheetData>
    <row r="1" spans="2:12">
      <c r="G1" s="79"/>
    </row>
    <row r="2" spans="2:12" ht="15">
      <c r="B2" s="531" t="s">
        <v>219</v>
      </c>
      <c r="C2" s="531"/>
      <c r="D2" s="531"/>
      <c r="E2" s="531"/>
      <c r="F2" s="531"/>
      <c r="G2" s="531"/>
    </row>
    <row r="4" spans="2:12" ht="13.5" thickBot="1"/>
    <row r="5" spans="2:12" s="39" customFormat="1" ht="84.75" customHeight="1">
      <c r="B5" s="113"/>
      <c r="C5" s="255" t="s">
        <v>220</v>
      </c>
      <c r="D5" s="97" t="s">
        <v>172</v>
      </c>
      <c r="E5" s="97" t="s">
        <v>221</v>
      </c>
      <c r="F5" s="122" t="s">
        <v>117</v>
      </c>
      <c r="G5" s="97" t="s">
        <v>222</v>
      </c>
      <c r="H5" s="122" t="s">
        <v>278</v>
      </c>
      <c r="I5" s="98" t="s">
        <v>222</v>
      </c>
    </row>
    <row r="6" spans="2:12">
      <c r="B6" s="278" t="s">
        <v>207</v>
      </c>
      <c r="C6" s="253" t="s">
        <v>223</v>
      </c>
      <c r="D6" s="212">
        <v>2007</v>
      </c>
      <c r="E6" s="212">
        <v>24.17</v>
      </c>
      <c r="F6" s="123">
        <v>1</v>
      </c>
      <c r="G6" s="254">
        <f>ROUND(D6*E6*F6,2)</f>
        <v>48509.19</v>
      </c>
      <c r="H6" s="123">
        <v>1</v>
      </c>
      <c r="I6" s="269">
        <f>ROUND(G6*H6,2)</f>
        <v>48509.19</v>
      </c>
      <c r="J6" s="285"/>
      <c r="K6" s="286"/>
      <c r="L6" s="287"/>
    </row>
    <row r="7" spans="2:12">
      <c r="B7" s="278" t="s">
        <v>207</v>
      </c>
      <c r="C7" s="253" t="s">
        <v>223</v>
      </c>
      <c r="D7" s="212">
        <v>1274</v>
      </c>
      <c r="E7" s="212">
        <v>24.86</v>
      </c>
      <c r="F7" s="123">
        <v>1</v>
      </c>
      <c r="G7" s="254">
        <f>ROUND(D7*E7*F7,2)</f>
        <v>31671.64</v>
      </c>
      <c r="H7" s="123">
        <v>1</v>
      </c>
      <c r="I7" s="256">
        <f>ROUND(G7*H7,2)</f>
        <v>31671.64</v>
      </c>
      <c r="J7" s="95"/>
      <c r="K7" s="286"/>
      <c r="L7" s="287"/>
    </row>
    <row r="8" spans="2:12" ht="13.5" hidden="1" customHeight="1">
      <c r="B8" s="278" t="s">
        <v>207</v>
      </c>
      <c r="C8" s="253" t="s">
        <v>223</v>
      </c>
      <c r="D8" s="212"/>
      <c r="E8" s="212"/>
      <c r="F8" s="123">
        <v>1</v>
      </c>
      <c r="G8" s="254">
        <f t="shared" ref="G8:G9" si="0">ROUND(D8*E8*F8,2)</f>
        <v>0</v>
      </c>
      <c r="H8" s="123">
        <v>1</v>
      </c>
      <c r="I8" s="256">
        <f t="shared" ref="I8:I23" si="1">ROUND(G8*H8,2)</f>
        <v>0</v>
      </c>
      <c r="J8" s="95"/>
      <c r="K8" s="286"/>
      <c r="L8" s="287"/>
    </row>
    <row r="9" spans="2:12" hidden="1">
      <c r="B9" s="278" t="s">
        <v>208</v>
      </c>
      <c r="C9" s="253" t="s">
        <v>223</v>
      </c>
      <c r="D9" s="309"/>
      <c r="E9" s="212"/>
      <c r="F9" s="123">
        <v>1</v>
      </c>
      <c r="G9" s="254">
        <f t="shared" si="0"/>
        <v>0</v>
      </c>
      <c r="H9" s="123">
        <v>1</v>
      </c>
      <c r="I9" s="256">
        <f t="shared" si="1"/>
        <v>0</v>
      </c>
      <c r="J9" s="95"/>
      <c r="K9" s="286"/>
      <c r="L9" s="287"/>
    </row>
    <row r="10" spans="2:12">
      <c r="B10" s="278" t="s">
        <v>208</v>
      </c>
      <c r="C10" s="253" t="s">
        <v>223</v>
      </c>
      <c r="D10" s="309">
        <v>2900</v>
      </c>
      <c r="E10" s="212">
        <v>15.65</v>
      </c>
      <c r="F10" s="123">
        <v>1</v>
      </c>
      <c r="G10" s="254">
        <f>D10*E10*F10</f>
        <v>45385</v>
      </c>
      <c r="H10" s="123">
        <v>1</v>
      </c>
      <c r="I10" s="256">
        <f t="shared" si="1"/>
        <v>45385</v>
      </c>
      <c r="J10" s="95"/>
      <c r="K10" s="286"/>
      <c r="L10" s="287"/>
    </row>
    <row r="11" spans="2:12" ht="12.75" customHeight="1">
      <c r="B11" s="278" t="s">
        <v>208</v>
      </c>
      <c r="C11" s="253" t="s">
        <v>223</v>
      </c>
      <c r="D11" s="212">
        <v>1942</v>
      </c>
      <c r="E11" s="212">
        <v>16.260000000000002</v>
      </c>
      <c r="F11" s="123">
        <v>1</v>
      </c>
      <c r="G11" s="266">
        <f>ROUND(D11*E11*F11,2)</f>
        <v>31576.92</v>
      </c>
      <c r="H11" s="123">
        <v>1</v>
      </c>
      <c r="I11" s="256">
        <f>ROUND(G11*H11,2)</f>
        <v>31576.92</v>
      </c>
      <c r="J11" s="95"/>
      <c r="K11" s="286"/>
      <c r="L11" s="287"/>
    </row>
    <row r="12" spans="2:12" s="282" customFormat="1">
      <c r="B12" s="265" t="s">
        <v>224</v>
      </c>
      <c r="C12" s="279" t="s">
        <v>223</v>
      </c>
      <c r="D12" s="309">
        <v>292.45999999999998</v>
      </c>
      <c r="E12" s="212">
        <v>32.99</v>
      </c>
      <c r="F12" s="281">
        <v>1</v>
      </c>
      <c r="G12" s="266">
        <f>ROUND(D12*E12,2)</f>
        <v>9648.26</v>
      </c>
      <c r="H12" s="281">
        <v>1</v>
      </c>
      <c r="I12" s="256">
        <f t="shared" ref="I12" si="2">ROUND(G12*H12,2)</f>
        <v>9648.26</v>
      </c>
      <c r="J12" s="95"/>
      <c r="K12" s="286"/>
      <c r="L12" s="287"/>
    </row>
    <row r="13" spans="2:12" s="282" customFormat="1" ht="12.75" customHeight="1">
      <c r="B13" s="265" t="s">
        <v>224</v>
      </c>
      <c r="C13" s="279" t="s">
        <v>223</v>
      </c>
      <c r="D13" s="309">
        <v>251.23</v>
      </c>
      <c r="E13" s="212">
        <v>34.72</v>
      </c>
      <c r="F13" s="281">
        <v>1</v>
      </c>
      <c r="G13" s="266">
        <f>ROUND(D13*E13*F13,2)</f>
        <v>8722.7099999999991</v>
      </c>
      <c r="H13" s="281">
        <v>1</v>
      </c>
      <c r="I13" s="256">
        <f>ROUND(G13*H13,2)</f>
        <v>8722.7099999999991</v>
      </c>
      <c r="J13" s="95"/>
      <c r="K13" s="286"/>
      <c r="L13" s="287"/>
    </row>
    <row r="14" spans="2:12" s="282" customFormat="1">
      <c r="B14" s="265" t="s">
        <v>224</v>
      </c>
      <c r="C14" s="279" t="s">
        <v>223</v>
      </c>
      <c r="D14" s="309">
        <v>1105.53</v>
      </c>
      <c r="E14" s="212">
        <v>24.17</v>
      </c>
      <c r="F14" s="281">
        <v>1</v>
      </c>
      <c r="G14" s="266">
        <f>ROUND(D14*E14,2)</f>
        <v>26720.66</v>
      </c>
      <c r="H14" s="281">
        <v>1</v>
      </c>
      <c r="I14" s="256">
        <f t="shared" si="1"/>
        <v>26720.66</v>
      </c>
      <c r="J14" s="95"/>
      <c r="K14" s="286"/>
      <c r="L14" s="287"/>
    </row>
    <row r="15" spans="2:12" s="282" customFormat="1" ht="12.75" customHeight="1">
      <c r="B15" s="265" t="s">
        <v>224</v>
      </c>
      <c r="C15" s="279" t="s">
        <v>223</v>
      </c>
      <c r="D15" s="309">
        <v>278.3</v>
      </c>
      <c r="E15" s="212">
        <v>24.86</v>
      </c>
      <c r="F15" s="281">
        <v>1</v>
      </c>
      <c r="G15" s="266">
        <f>ROUND(D15*E15*F15,2)</f>
        <v>6918.54</v>
      </c>
      <c r="H15" s="281">
        <v>1</v>
      </c>
      <c r="I15" s="256">
        <f>ROUND(G15*H15,2)</f>
        <v>6918.54</v>
      </c>
      <c r="J15" s="95"/>
      <c r="K15" s="286"/>
      <c r="L15" s="287"/>
    </row>
    <row r="16" spans="2:12" s="282" customFormat="1" ht="12.75" customHeight="1">
      <c r="B16" s="265" t="s">
        <v>224</v>
      </c>
      <c r="C16" s="279" t="s">
        <v>223</v>
      </c>
      <c r="D16" s="348">
        <v>185.64779999999999</v>
      </c>
      <c r="E16" s="212">
        <v>141.65</v>
      </c>
      <c r="F16" s="281">
        <v>1</v>
      </c>
      <c r="G16" s="266">
        <f>ROUND(D16*E16*F16,2)</f>
        <v>26297.01</v>
      </c>
      <c r="H16" s="281">
        <v>1</v>
      </c>
      <c r="I16" s="256">
        <f>ROUND(G16*H16,2)</f>
        <v>26297.01</v>
      </c>
      <c r="J16" s="95"/>
      <c r="K16" s="286"/>
      <c r="L16" s="287"/>
    </row>
    <row r="17" spans="2:82" s="282" customFormat="1" ht="28.5" customHeight="1">
      <c r="B17" s="278" t="s">
        <v>274</v>
      </c>
      <c r="C17" s="279" t="s">
        <v>225</v>
      </c>
      <c r="D17" s="309">
        <f>153.598+14.059</f>
        <v>167.65700000000001</v>
      </c>
      <c r="E17" s="212">
        <v>1648.07</v>
      </c>
      <c r="F17" s="281">
        <v>1</v>
      </c>
      <c r="G17" s="266">
        <f>D17*E17*F17</f>
        <v>276310.47198999999</v>
      </c>
      <c r="H17" s="281">
        <v>1</v>
      </c>
      <c r="I17" s="256">
        <f>ROUND(G17*H17,2)</f>
        <v>276310.46999999997</v>
      </c>
      <c r="J17" s="285"/>
      <c r="K17" s="286"/>
      <c r="L17" s="287"/>
    </row>
    <row r="18" spans="2:82" s="282" customFormat="1" ht="25.5">
      <c r="B18" s="278" t="s">
        <v>274</v>
      </c>
      <c r="C18" s="279" t="s">
        <v>225</v>
      </c>
      <c r="D18" s="271">
        <f>47.359+12.478</f>
        <v>59.837000000000003</v>
      </c>
      <c r="E18" s="212">
        <v>1703.3901000000001</v>
      </c>
      <c r="F18" s="281">
        <v>1</v>
      </c>
      <c r="G18" s="266">
        <f>D18*E18*F18</f>
        <v>101925.7534137</v>
      </c>
      <c r="H18" s="281">
        <v>1</v>
      </c>
      <c r="I18" s="256">
        <f>ROUND(G18*H18,2)</f>
        <v>101925.75</v>
      </c>
      <c r="J18" s="95"/>
      <c r="K18" s="286"/>
      <c r="L18" s="287"/>
    </row>
    <row r="19" spans="2:82" s="282" customFormat="1">
      <c r="B19" s="265" t="s">
        <v>209</v>
      </c>
      <c r="C19" s="283" t="s">
        <v>225</v>
      </c>
      <c r="D19" s="271">
        <f>526.766</f>
        <v>526.76599999999996</v>
      </c>
      <c r="E19" s="212">
        <v>1648.07</v>
      </c>
      <c r="F19" s="281">
        <v>1</v>
      </c>
      <c r="G19" s="266">
        <f t="shared" ref="G19:G25" si="3">ROUND(D19*E19*F19,2)</f>
        <v>868147.24</v>
      </c>
      <c r="H19" s="281">
        <v>1</v>
      </c>
      <c r="I19" s="256">
        <f t="shared" si="1"/>
        <v>868147.24</v>
      </c>
      <c r="J19" s="95"/>
      <c r="K19" s="286"/>
      <c r="L19" s="287"/>
    </row>
    <row r="20" spans="2:82" s="282" customFormat="1">
      <c r="B20" s="265" t="s">
        <v>209</v>
      </c>
      <c r="C20" s="283" t="s">
        <v>225</v>
      </c>
      <c r="D20" s="271">
        <f>206.545</f>
        <v>206.54499999999999</v>
      </c>
      <c r="E20" s="212">
        <v>1703.3901000000001</v>
      </c>
      <c r="F20" s="281">
        <v>1</v>
      </c>
      <c r="G20" s="266">
        <f>ROUND(D20*E20*F20,2)-0.01</f>
        <v>351826.7</v>
      </c>
      <c r="H20" s="281">
        <v>1</v>
      </c>
      <c r="I20" s="256">
        <f>ROUND(G20*H20,2)</f>
        <v>351826.7</v>
      </c>
      <c r="J20" s="95"/>
      <c r="K20" s="286"/>
      <c r="L20" s="287"/>
    </row>
    <row r="21" spans="2:82" s="282" customFormat="1">
      <c r="B21" s="265" t="s">
        <v>209</v>
      </c>
      <c r="C21" s="283" t="s">
        <v>225</v>
      </c>
      <c r="D21" s="271">
        <v>34.962000000000003</v>
      </c>
      <c r="E21" s="212">
        <v>1296.73</v>
      </c>
      <c r="F21" s="281">
        <v>1</v>
      </c>
      <c r="G21" s="266">
        <f t="shared" si="3"/>
        <v>45336.27</v>
      </c>
      <c r="H21" s="281">
        <v>1</v>
      </c>
      <c r="I21" s="256">
        <f>ROUND(G21*H21,2)</f>
        <v>45336.27</v>
      </c>
      <c r="J21" s="95"/>
      <c r="K21" s="286"/>
      <c r="L21" s="287"/>
    </row>
    <row r="22" spans="2:82" s="282" customFormat="1">
      <c r="B22" s="265" t="s">
        <v>209</v>
      </c>
      <c r="C22" s="283" t="s">
        <v>225</v>
      </c>
      <c r="D22" s="271">
        <v>3.0920000000000001</v>
      </c>
      <c r="E22" s="212">
        <v>1361.35</v>
      </c>
      <c r="F22" s="281">
        <v>1</v>
      </c>
      <c r="G22" s="266">
        <f t="shared" ref="G22" si="4">ROUND(D22*E22*F22,2)</f>
        <v>4209.29</v>
      </c>
      <c r="H22" s="281">
        <v>1</v>
      </c>
      <c r="I22" s="256">
        <f>ROUND(G22*H22,2)</f>
        <v>4209.29</v>
      </c>
      <c r="J22" s="95"/>
      <c r="K22" s="286"/>
      <c r="L22" s="287"/>
    </row>
    <row r="23" spans="2:82" s="282" customFormat="1">
      <c r="B23" s="278" t="s">
        <v>277</v>
      </c>
      <c r="C23" s="283" t="s">
        <v>226</v>
      </c>
      <c r="D23" s="310">
        <v>249319.75</v>
      </c>
      <c r="E23" s="212">
        <v>1</v>
      </c>
      <c r="F23" s="281">
        <v>1</v>
      </c>
      <c r="G23" s="266">
        <f>ROUND(D23*E23*F23,2)</f>
        <v>249319.75</v>
      </c>
      <c r="H23" s="281">
        <v>1</v>
      </c>
      <c r="I23" s="256">
        <f t="shared" si="1"/>
        <v>249319.75</v>
      </c>
      <c r="J23" s="95"/>
      <c r="K23" s="286"/>
      <c r="L23" s="287"/>
    </row>
    <row r="24" spans="2:82" s="282" customFormat="1">
      <c r="B24" s="278" t="s">
        <v>277</v>
      </c>
      <c r="C24" s="283" t="s">
        <v>226</v>
      </c>
      <c r="D24" s="284"/>
      <c r="E24" s="280"/>
      <c r="F24" s="281">
        <v>1</v>
      </c>
      <c r="G24" s="266">
        <f t="shared" si="3"/>
        <v>0</v>
      </c>
      <c r="H24" s="281">
        <v>1</v>
      </c>
      <c r="I24" s="256">
        <f>ROUND(G24*H24,2)</f>
        <v>0</v>
      </c>
      <c r="J24" s="95"/>
      <c r="K24" s="286"/>
      <c r="L24" s="287"/>
    </row>
    <row r="25" spans="2:82" s="282" customFormat="1" ht="13.5" thickBot="1">
      <c r="B25" s="289" t="s">
        <v>277</v>
      </c>
      <c r="C25" s="290" t="s">
        <v>226</v>
      </c>
      <c r="D25" s="291"/>
      <c r="E25" s="292"/>
      <c r="F25" s="293">
        <v>1</v>
      </c>
      <c r="G25" s="294">
        <f t="shared" si="3"/>
        <v>0</v>
      </c>
      <c r="H25" s="293">
        <v>1</v>
      </c>
      <c r="I25" s="295">
        <f t="shared" ref="I25" si="5">ROUND(G25*H25,2)</f>
        <v>0</v>
      </c>
      <c r="J25" s="95"/>
      <c r="K25" s="286"/>
      <c r="L25" s="287"/>
    </row>
    <row r="26" spans="2:82">
      <c r="D26" s="34"/>
      <c r="G26" s="34"/>
      <c r="I26" s="34"/>
      <c r="J26" s="95"/>
      <c r="K26" s="95"/>
      <c r="L26" s="95"/>
    </row>
    <row r="27" spans="2:82">
      <c r="D27" s="34"/>
      <c r="G27" s="34"/>
      <c r="J27" s="95"/>
      <c r="K27" s="288"/>
      <c r="L27" s="288"/>
    </row>
    <row r="28" spans="2:82">
      <c r="D28" s="34"/>
      <c r="I28" s="34"/>
      <c r="J28" s="34"/>
    </row>
    <row r="29" spans="2:82" s="73" customFormat="1">
      <c r="B29" s="35" t="s">
        <v>272</v>
      </c>
      <c r="C29" s="136"/>
      <c r="D29" s="137"/>
      <c r="E29" s="369" t="s">
        <v>382</v>
      </c>
      <c r="F29" s="80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</row>
    <row r="30" spans="2:82" s="73" customFormat="1"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</row>
    <row r="31" spans="2:82" s="73" customFormat="1"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</row>
    <row r="32" spans="2:82" s="73" customFormat="1">
      <c r="B32" s="25" t="s">
        <v>237</v>
      </c>
      <c r="C32" s="136"/>
      <c r="D32" s="136"/>
      <c r="E32" s="369" t="s">
        <v>383</v>
      </c>
      <c r="F32" s="80"/>
      <c r="H32" s="75"/>
      <c r="I32" s="75"/>
      <c r="J32" s="75"/>
      <c r="K32" s="252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</row>
    <row r="33" spans="7:82" s="73" customFormat="1"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</row>
  </sheetData>
  <mergeCells count="1">
    <mergeCell ref="B2:G2"/>
  </mergeCells>
  <pageMargins left="0" right="0" top="0.74803149606299213" bottom="0.74803149606299213" header="0.31496062992125984" footer="0.31496062992125984"/>
  <pageSetup paperSize="9" scale="8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CE39"/>
  <sheetViews>
    <sheetView view="pageBreakPreview" zoomScaleSheetLayoutView="100" workbookViewId="0">
      <selection activeCell="G36" sqref="G36"/>
    </sheetView>
  </sheetViews>
  <sheetFormatPr defaultColWidth="9.140625" defaultRowHeight="12.75"/>
  <cols>
    <col min="1" max="1" width="0.140625" style="25" customWidth="1"/>
    <col min="2" max="2" width="23" style="25" customWidth="1"/>
    <col min="3" max="3" width="15.7109375" style="25" customWidth="1"/>
    <col min="4" max="4" width="14.140625" style="25" customWidth="1"/>
    <col min="5" max="5" width="16.7109375" style="25" customWidth="1"/>
    <col min="6" max="6" width="9.140625" style="25"/>
    <col min="7" max="7" width="13.28515625" style="25" customWidth="1"/>
    <col min="8" max="16384" width="9.140625" style="25"/>
  </cols>
  <sheetData>
    <row r="1" spans="2:7">
      <c r="F1" s="532" t="s">
        <v>227</v>
      </c>
      <c r="G1" s="532"/>
    </row>
    <row r="2" spans="2:7" ht="25.5" customHeight="1">
      <c r="B2" s="522" t="s">
        <v>228</v>
      </c>
      <c r="C2" s="486"/>
      <c r="D2" s="486"/>
      <c r="E2" s="486"/>
    </row>
    <row r="3" spans="2:7" ht="18.75">
      <c r="B3" s="109"/>
      <c r="C3" s="79"/>
      <c r="D3" s="79"/>
      <c r="E3" s="79"/>
    </row>
    <row r="4" spans="2:7" ht="19.5" thickBot="1">
      <c r="B4" s="109"/>
      <c r="C4" s="79"/>
      <c r="D4" s="79"/>
      <c r="E4" s="79"/>
    </row>
    <row r="5" spans="2:7" s="126" customFormat="1" ht="48" customHeight="1">
      <c r="B5" s="124"/>
      <c r="C5" s="53" t="s">
        <v>229</v>
      </c>
      <c r="D5" s="125" t="s">
        <v>230</v>
      </c>
      <c r="E5" s="54" t="s">
        <v>228</v>
      </c>
    </row>
    <row r="6" spans="2:7" ht="15">
      <c r="B6" s="127" t="s">
        <v>231</v>
      </c>
      <c r="C6" s="138">
        <v>40775591</v>
      </c>
      <c r="D6" s="128">
        <v>2.1999999999999999E-2</v>
      </c>
      <c r="E6" s="129">
        <f>ROUND(C6*D6,0)</f>
        <v>897063</v>
      </c>
    </row>
    <row r="7" spans="2:7" ht="15">
      <c r="B7" s="127"/>
      <c r="C7" s="138"/>
      <c r="D7" s="128"/>
      <c r="E7" s="129"/>
    </row>
    <row r="8" spans="2:7" ht="15">
      <c r="B8" s="127" t="s">
        <v>232</v>
      </c>
      <c r="C8" s="138">
        <v>11207233.16</v>
      </c>
      <c r="D8" s="128">
        <v>1.4999999999999999E-2</v>
      </c>
      <c r="E8" s="129">
        <f t="shared" ref="E8:E10" si="0">ROUND(C8*D8,0)</f>
        <v>168108</v>
      </c>
    </row>
    <row r="9" spans="2:7" ht="15">
      <c r="B9" s="127" t="s">
        <v>232</v>
      </c>
      <c r="C9" s="138">
        <v>4714119.33</v>
      </c>
      <c r="D9" s="128">
        <v>1.4999999999999999E-2</v>
      </c>
      <c r="E9" s="129">
        <f t="shared" si="0"/>
        <v>70712</v>
      </c>
    </row>
    <row r="10" spans="2:7" ht="15">
      <c r="B10" s="127" t="s">
        <v>232</v>
      </c>
      <c r="C10" s="138">
        <v>397815.6</v>
      </c>
      <c r="D10" s="128">
        <v>1.4999999999999999E-2</v>
      </c>
      <c r="E10" s="129">
        <f t="shared" si="0"/>
        <v>5967</v>
      </c>
    </row>
    <row r="11" spans="2:7" ht="15">
      <c r="B11" s="127" t="s">
        <v>232</v>
      </c>
      <c r="C11" s="138">
        <v>397815.6</v>
      </c>
      <c r="D11" s="128">
        <v>1.4999999999999999E-2</v>
      </c>
      <c r="E11" s="129">
        <f>ROUND(C11*D11,0)</f>
        <v>5967</v>
      </c>
    </row>
    <row r="12" spans="2:7" ht="15" hidden="1">
      <c r="B12" s="130"/>
      <c r="C12" s="138"/>
      <c r="D12" s="128"/>
      <c r="E12" s="129"/>
    </row>
    <row r="13" spans="2:7" ht="15" hidden="1">
      <c r="B13" s="131" t="s">
        <v>215</v>
      </c>
      <c r="C13" s="31"/>
      <c r="D13" s="128"/>
      <c r="E13" s="129">
        <f>ROUND(C13*D13,2)</f>
        <v>0</v>
      </c>
    </row>
    <row r="14" spans="2:7" ht="15" hidden="1">
      <c r="B14" s="131" t="s">
        <v>216</v>
      </c>
      <c r="C14" s="31"/>
      <c r="D14" s="128"/>
      <c r="E14" s="129">
        <f>ROUND(C14*D14,2)</f>
        <v>0</v>
      </c>
    </row>
    <row r="15" spans="2:7" ht="15.75" hidden="1" thickBot="1">
      <c r="B15" s="132" t="s">
        <v>217</v>
      </c>
      <c r="C15" s="139"/>
      <c r="D15" s="92">
        <v>1</v>
      </c>
      <c r="E15" s="140">
        <f>ROUND(C15*D15,2)</f>
        <v>0</v>
      </c>
    </row>
    <row r="16" spans="2:7" hidden="1"/>
    <row r="18" spans="2:7" hidden="1"/>
    <row r="19" spans="2:7" s="313" customFormat="1" ht="15" hidden="1">
      <c r="B19" s="533" t="s">
        <v>219</v>
      </c>
      <c r="C19" s="533"/>
      <c r="D19" s="533"/>
      <c r="E19" s="533"/>
      <c r="F19" s="533"/>
      <c r="G19" s="533"/>
    </row>
    <row r="20" spans="2:7" s="313" customFormat="1" hidden="1"/>
    <row r="21" spans="2:7" s="313" customFormat="1" ht="13.5" hidden="1" thickBot="1"/>
    <row r="22" spans="2:7" s="313" customFormat="1" ht="120" hidden="1">
      <c r="B22" s="314"/>
      <c r="C22" s="315" t="s">
        <v>220</v>
      </c>
      <c r="D22" s="316" t="s">
        <v>172</v>
      </c>
      <c r="E22" s="316" t="s">
        <v>221</v>
      </c>
      <c r="F22" s="317" t="s">
        <v>279</v>
      </c>
      <c r="G22" s="318" t="s">
        <v>222</v>
      </c>
    </row>
    <row r="23" spans="2:7" s="313" customFormat="1" hidden="1">
      <c r="B23" s="319" t="s">
        <v>209</v>
      </c>
      <c r="C23" s="320" t="s">
        <v>225</v>
      </c>
      <c r="D23" s="321">
        <f>прил.5!D19</f>
        <v>526.76599999999996</v>
      </c>
      <c r="E23" s="321">
        <f>прил.5!E19</f>
        <v>1648.07</v>
      </c>
      <c r="F23" s="322">
        <v>0</v>
      </c>
      <c r="G23" s="323">
        <f>прил.5!G19-прил.5!I19</f>
        <v>0</v>
      </c>
    </row>
    <row r="24" spans="2:7" s="313" customFormat="1" hidden="1">
      <c r="B24" s="319" t="s">
        <v>209</v>
      </c>
      <c r="C24" s="320" t="s">
        <v>225</v>
      </c>
      <c r="D24" s="321">
        <f>прил.5!D20</f>
        <v>206.54499999999999</v>
      </c>
      <c r="E24" s="321">
        <f>прил.5!E20</f>
        <v>1703.3901000000001</v>
      </c>
      <c r="F24" s="322">
        <v>0</v>
      </c>
      <c r="G24" s="323">
        <f>прил.5!G20-прил.5!I20</f>
        <v>0</v>
      </c>
    </row>
    <row r="25" spans="2:7" s="313" customFormat="1" hidden="1">
      <c r="B25" s="319" t="s">
        <v>209</v>
      </c>
      <c r="C25" s="320" t="s">
        <v>225</v>
      </c>
      <c r="D25" s="321">
        <f>прил.5!D21</f>
        <v>34.962000000000003</v>
      </c>
      <c r="E25" s="321">
        <f>прил.5!E21</f>
        <v>1296.73</v>
      </c>
      <c r="F25" s="322">
        <v>0</v>
      </c>
      <c r="G25" s="323">
        <f>прил.5!G21-прил.5!I21</f>
        <v>0</v>
      </c>
    </row>
    <row r="26" spans="2:7" s="313" customFormat="1" hidden="1">
      <c r="B26" s="319" t="str">
        <f>прил.5!B23</f>
        <v xml:space="preserve">электрическая энергия </v>
      </c>
      <c r="C26" s="320" t="s">
        <v>226</v>
      </c>
      <c r="D26" s="321">
        <f>прил.5!D23</f>
        <v>249319.75</v>
      </c>
      <c r="E26" s="321">
        <f>прил.5!E23</f>
        <v>1</v>
      </c>
      <c r="F26" s="322">
        <v>0</v>
      </c>
      <c r="G26" s="323">
        <f>прил.5!G23-прил.5!I23</f>
        <v>0</v>
      </c>
    </row>
    <row r="27" spans="2:7" s="313" customFormat="1" hidden="1">
      <c r="B27" s="319" t="str">
        <f>прил.5!B24</f>
        <v xml:space="preserve">электрическая энергия </v>
      </c>
      <c r="C27" s="320" t="s">
        <v>226</v>
      </c>
      <c r="D27" s="321">
        <f>прил.5!D24</f>
        <v>0</v>
      </c>
      <c r="E27" s="321">
        <f>прил.5!E24</f>
        <v>0</v>
      </c>
      <c r="F27" s="322">
        <v>0</v>
      </c>
      <c r="G27" s="323">
        <f>прил.5!G24-прил.5!I24</f>
        <v>0</v>
      </c>
    </row>
    <row r="28" spans="2:7" s="313" customFormat="1" hidden="1">
      <c r="B28" s="319" t="e">
        <f>прил.5!#REF!</f>
        <v>#REF!</v>
      </c>
      <c r="C28" s="320" t="s">
        <v>226</v>
      </c>
      <c r="D28" s="321" t="e">
        <f>прил.5!#REF!</f>
        <v>#REF!</v>
      </c>
      <c r="E28" s="321" t="e">
        <f>прил.5!#REF!</f>
        <v>#REF!</v>
      </c>
      <c r="F28" s="322">
        <v>0.1</v>
      </c>
      <c r="G28" s="323" t="e">
        <f>прил.5!#REF!-прил.5!#REF!</f>
        <v>#REF!</v>
      </c>
    </row>
    <row r="29" spans="2:7" s="313" customFormat="1" hidden="1">
      <c r="B29" s="319" t="e">
        <f>прил.5!#REF!</f>
        <v>#REF!</v>
      </c>
      <c r="C29" s="320" t="s">
        <v>226</v>
      </c>
      <c r="D29" s="321" t="e">
        <f>прил.5!#REF!</f>
        <v>#REF!</v>
      </c>
      <c r="E29" s="321" t="e">
        <f>прил.5!#REF!</f>
        <v>#REF!</v>
      </c>
      <c r="F29" s="322">
        <v>0.1</v>
      </c>
      <c r="G29" s="323" t="e">
        <f>прил.5!#REF!-прил.5!#REF!</f>
        <v>#REF!</v>
      </c>
    </row>
    <row r="30" spans="2:7" s="313" customFormat="1" hidden="1">
      <c r="B30" s="319" t="str">
        <f>прил.5!B25</f>
        <v xml:space="preserve">электрическая энергия </v>
      </c>
      <c r="C30" s="320" t="s">
        <v>226</v>
      </c>
      <c r="D30" s="321">
        <f>прил.5!D25</f>
        <v>0</v>
      </c>
      <c r="E30" s="321">
        <f>прил.5!E25</f>
        <v>0</v>
      </c>
      <c r="F30" s="322">
        <v>0</v>
      </c>
      <c r="G30" s="323">
        <f>прил.5!G25-прил.5!I25</f>
        <v>0</v>
      </c>
    </row>
    <row r="35" spans="2:83" s="73" customFormat="1">
      <c r="B35" s="35" t="s">
        <v>272</v>
      </c>
      <c r="C35" s="136"/>
      <c r="D35" s="137"/>
      <c r="E35" s="369" t="s">
        <v>382</v>
      </c>
      <c r="F35" s="80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</row>
    <row r="36" spans="2:83" s="73" customFormat="1"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</row>
    <row r="37" spans="2:83" s="73" customFormat="1"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</row>
    <row r="38" spans="2:83" s="73" customFormat="1">
      <c r="B38" s="25" t="s">
        <v>237</v>
      </c>
      <c r="C38" s="136"/>
      <c r="D38" s="136"/>
      <c r="E38" s="369" t="s">
        <v>383</v>
      </c>
      <c r="F38" s="80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</row>
    <row r="39" spans="2:83" s="73" customFormat="1"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</row>
  </sheetData>
  <mergeCells count="3">
    <mergeCell ref="F1:G1"/>
    <mergeCell ref="B2:E2"/>
    <mergeCell ref="B19:G19"/>
  </mergeCells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7</vt:i4>
      </vt:variant>
    </vt:vector>
  </HeadingPairs>
  <TitlesOfParts>
    <vt:vector size="17" baseType="lpstr">
      <vt:lpstr>мун.зад.</vt:lpstr>
      <vt:lpstr>проверка 2018</vt:lpstr>
      <vt:lpstr>проверка 2019 </vt:lpstr>
      <vt:lpstr>проверка 2020</vt:lpstr>
      <vt:lpstr>прил.1+2</vt:lpstr>
      <vt:lpstr>прил.3</vt:lpstr>
      <vt:lpstr>прил.4</vt:lpstr>
      <vt:lpstr>прил.5</vt:lpstr>
      <vt:lpstr>прил.6</vt:lpstr>
      <vt:lpstr>свод </vt:lpstr>
      <vt:lpstr>'свод '!Заголовки_для_печати</vt:lpstr>
      <vt:lpstr>мун.зад.!Область_печати</vt:lpstr>
      <vt:lpstr>'прил.1+2'!Область_печати</vt:lpstr>
      <vt:lpstr>прил.3!Область_печати</vt:lpstr>
      <vt:lpstr>прил.5!Область_печати</vt:lpstr>
      <vt:lpstr>прил.6!Область_печати</vt:lpstr>
      <vt:lpstr>'свод '!Область_печати</vt:lpstr>
    </vt:vector>
  </TitlesOfParts>
  <Company>Управление образования города Пензы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smetanina</dc:creator>
  <cp:lastModifiedBy>Пользователь</cp:lastModifiedBy>
  <cp:lastPrinted>2003-01-01T01:11:22Z</cp:lastPrinted>
  <dcterms:created xsi:type="dcterms:W3CDTF">2015-12-22T12:42:46Z</dcterms:created>
  <dcterms:modified xsi:type="dcterms:W3CDTF">2003-01-01T01:11:25Z</dcterms:modified>
</cp:coreProperties>
</file>